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S:\RFB-Support\FHwA &amp; KTC Info\"/>
    </mc:Choice>
  </mc:AlternateContent>
  <xr:revisionPtr revIDLastSave="0" documentId="8_{BD79F24E-A1E9-4CB7-81E5-F495DF45FCB6}" xr6:coauthVersionLast="47" xr6:coauthVersionMax="47" xr10:uidLastSave="{00000000-0000-0000-0000-000000000000}"/>
  <workbookProtection workbookPassword="DFA3" lockStructure="1"/>
  <bookViews>
    <workbookView xWindow="-108" yWindow="-108" windowWidth="23256" windowHeight="12456" tabRatio="728" activeTab="1" xr2:uid="{00000000-000D-0000-FFFF-FFFF00000000}"/>
  </bookViews>
  <sheets>
    <sheet name="Definitions" sheetId="11" r:id="rId1"/>
    <sheet name="Gasoline Gallon Data" sheetId="10" r:id="rId2"/>
    <sheet name="Special Fuels Gallon Data" sheetId="9" r:id="rId3"/>
    <sheet name="LP Gas Gallon Data" sheetId="1" r:id="rId4"/>
    <sheet name="Motor Fuel Tax Rates" sheetId="2" r:id="rId5"/>
  </sheets>
  <definedNames>
    <definedName name="_xlnm.Print_Area" localSheetId="1">'Gasoline Gallon Data'!$A$94:$I$105,'Gasoline Gallon Data'!$A$3:$I$29</definedName>
    <definedName name="_xlnm.Print_Area" localSheetId="4">'Motor Fuel Tax Rates'!$A$1:$H$132</definedName>
    <definedName name="_xlnm.Print_Titles" localSheetId="1">'Gasoline Gallon Data'!$1:$3</definedName>
    <definedName name="_xlnm.Print_Titles" localSheetId="3">'LP Gas Gallon Data'!$1:$3</definedName>
    <definedName name="_xlnm.Print_Titles" localSheetId="4">'Motor Fuel Tax Rates'!$1:$2</definedName>
    <definedName name="_xlnm.Print_Titles" localSheetId="2">'Special Fuels Gallon Data'!$1:$3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3" i="1" l="1"/>
  <c r="C472" i="1"/>
  <c r="C471" i="1"/>
  <c r="C470" i="1"/>
  <c r="C469" i="1"/>
  <c r="C468" i="1"/>
  <c r="C467" i="1"/>
  <c r="C466" i="1"/>
  <c r="C465" i="1"/>
  <c r="C464" i="1"/>
  <c r="C463" i="1"/>
  <c r="D475" i="1"/>
  <c r="A466" i="9"/>
  <c r="A465" i="9"/>
  <c r="A464" i="9"/>
  <c r="A463" i="9"/>
  <c r="A462" i="9"/>
  <c r="A461" i="9"/>
  <c r="A460" i="9"/>
  <c r="A459" i="9"/>
  <c r="A458" i="9"/>
  <c r="A457" i="9"/>
  <c r="A456" i="9"/>
  <c r="A455" i="9"/>
  <c r="L468" i="9"/>
  <c r="K468" i="9"/>
  <c r="J468" i="9"/>
  <c r="I468" i="9"/>
  <c r="H468" i="9"/>
  <c r="G468" i="9"/>
  <c r="F468" i="9"/>
  <c r="E468" i="9"/>
  <c r="D468" i="9"/>
  <c r="C468" i="9"/>
  <c r="B468" i="9"/>
  <c r="A493" i="10"/>
  <c r="A492" i="10"/>
  <c r="A491" i="10"/>
  <c r="A490" i="10"/>
  <c r="A489" i="10"/>
  <c r="A488" i="10"/>
  <c r="A487" i="10"/>
  <c r="A486" i="10"/>
  <c r="A485" i="10"/>
  <c r="A484" i="10"/>
  <c r="A483" i="10"/>
  <c r="A482" i="10"/>
  <c r="I495" i="10"/>
  <c r="H495" i="10"/>
  <c r="G495" i="10"/>
  <c r="F495" i="10"/>
  <c r="E495" i="10"/>
  <c r="D495" i="10"/>
  <c r="B495" i="10"/>
  <c r="C493" i="10"/>
  <c r="C492" i="10"/>
  <c r="C491" i="10"/>
  <c r="C490" i="10"/>
  <c r="C489" i="10"/>
  <c r="C488" i="10"/>
  <c r="C487" i="10"/>
  <c r="C486" i="10"/>
  <c r="C485" i="10"/>
  <c r="C484" i="10"/>
  <c r="C483" i="10"/>
  <c r="C482" i="10"/>
  <c r="C495" i="10" s="1"/>
  <c r="C458" i="1" l="1"/>
  <c r="C457" i="1"/>
  <c r="C456" i="1"/>
  <c r="C455" i="1"/>
  <c r="C454" i="1"/>
  <c r="C453" i="1"/>
  <c r="C452" i="1"/>
  <c r="C451" i="1"/>
  <c r="C450" i="1"/>
  <c r="C449" i="1"/>
  <c r="C448" i="1"/>
  <c r="D460" i="1"/>
  <c r="A452" i="9"/>
  <c r="A451" i="9"/>
  <c r="A450" i="9"/>
  <c r="A449" i="9"/>
  <c r="A448" i="9"/>
  <c r="A447" i="9"/>
  <c r="A446" i="9"/>
  <c r="A445" i="9"/>
  <c r="A444" i="9"/>
  <c r="A443" i="9"/>
  <c r="A442" i="9"/>
  <c r="A441" i="9"/>
  <c r="L454" i="9"/>
  <c r="K454" i="9"/>
  <c r="J454" i="9"/>
  <c r="I454" i="9"/>
  <c r="H454" i="9"/>
  <c r="G454" i="9"/>
  <c r="F454" i="9"/>
  <c r="E454" i="9"/>
  <c r="D454" i="9"/>
  <c r="C454" i="9"/>
  <c r="B454" i="9"/>
  <c r="A477" i="10"/>
  <c r="A476" i="10"/>
  <c r="A475" i="10"/>
  <c r="A474" i="10"/>
  <c r="A473" i="10"/>
  <c r="A472" i="10"/>
  <c r="A471" i="10"/>
  <c r="A470" i="10"/>
  <c r="A469" i="10"/>
  <c r="A468" i="10"/>
  <c r="A467" i="10"/>
  <c r="A466" i="10"/>
  <c r="I479" i="10"/>
  <c r="H479" i="10"/>
  <c r="G479" i="10"/>
  <c r="F479" i="10"/>
  <c r="E479" i="10"/>
  <c r="D479" i="10"/>
  <c r="B479" i="10"/>
  <c r="C477" i="10"/>
  <c r="C476" i="10"/>
  <c r="C475" i="10"/>
  <c r="C474" i="10"/>
  <c r="C473" i="10"/>
  <c r="C472" i="10"/>
  <c r="C471" i="10"/>
  <c r="C470" i="10"/>
  <c r="C469" i="10"/>
  <c r="C468" i="10"/>
  <c r="C467" i="10"/>
  <c r="C466" i="10"/>
  <c r="C479" i="10" s="1"/>
  <c r="C443" i="1"/>
  <c r="C442" i="1"/>
  <c r="C441" i="1"/>
  <c r="C440" i="1"/>
  <c r="C439" i="1"/>
  <c r="C438" i="1"/>
  <c r="C437" i="1"/>
  <c r="C436" i="1"/>
  <c r="C435" i="1"/>
  <c r="C434" i="1"/>
  <c r="C433" i="1"/>
  <c r="D445" i="1"/>
  <c r="A438" i="9"/>
  <c r="A437" i="9"/>
  <c r="A436" i="9"/>
  <c r="A435" i="9"/>
  <c r="A434" i="9"/>
  <c r="A433" i="9"/>
  <c r="A432" i="9"/>
  <c r="A431" i="9"/>
  <c r="A430" i="9"/>
  <c r="A429" i="9"/>
  <c r="A428" i="9"/>
  <c r="A427" i="9"/>
  <c r="L440" i="9"/>
  <c r="K440" i="9"/>
  <c r="J440" i="9"/>
  <c r="I440" i="9"/>
  <c r="H440" i="9"/>
  <c r="G440" i="9"/>
  <c r="F440" i="9"/>
  <c r="E440" i="9"/>
  <c r="D440" i="9"/>
  <c r="C440" i="9"/>
  <c r="B440" i="9"/>
  <c r="A461" i="10"/>
  <c r="A460" i="10"/>
  <c r="A459" i="10"/>
  <c r="A458" i="10"/>
  <c r="A457" i="10"/>
  <c r="A456" i="10"/>
  <c r="A455" i="10"/>
  <c r="A454" i="10"/>
  <c r="A453" i="10"/>
  <c r="A452" i="10"/>
  <c r="A451" i="10"/>
  <c r="A450" i="10"/>
  <c r="I463" i="10"/>
  <c r="H463" i="10"/>
  <c r="G463" i="10"/>
  <c r="F463" i="10"/>
  <c r="E463" i="10"/>
  <c r="D463" i="10"/>
  <c r="B463" i="10"/>
  <c r="C461" i="10"/>
  <c r="C460" i="10"/>
  <c r="C459" i="10"/>
  <c r="C458" i="10"/>
  <c r="C457" i="10"/>
  <c r="C456" i="10"/>
  <c r="C455" i="10"/>
  <c r="C454" i="10"/>
  <c r="C453" i="10"/>
  <c r="C452" i="10"/>
  <c r="C451" i="10"/>
  <c r="C450" i="10"/>
  <c r="C428" i="1"/>
  <c r="C427" i="1"/>
  <c r="C426" i="1"/>
  <c r="C425" i="1"/>
  <c r="C424" i="1"/>
  <c r="C423" i="1"/>
  <c r="C422" i="1"/>
  <c r="C421" i="1"/>
  <c r="C420" i="1"/>
  <c r="C419" i="1"/>
  <c r="C418" i="1"/>
  <c r="D430" i="1"/>
  <c r="A424" i="9"/>
  <c r="A423" i="9"/>
  <c r="A422" i="9"/>
  <c r="A421" i="9"/>
  <c r="A420" i="9"/>
  <c r="A419" i="9"/>
  <c r="A418" i="9"/>
  <c r="A417" i="9"/>
  <c r="A416" i="9"/>
  <c r="A415" i="9"/>
  <c r="A414" i="9"/>
  <c r="A413" i="9"/>
  <c r="L426" i="9"/>
  <c r="K426" i="9"/>
  <c r="J426" i="9"/>
  <c r="I426" i="9"/>
  <c r="H426" i="9"/>
  <c r="G426" i="9"/>
  <c r="F426" i="9"/>
  <c r="E426" i="9"/>
  <c r="D426" i="9"/>
  <c r="C426" i="9"/>
  <c r="B426" i="9"/>
  <c r="A445" i="10"/>
  <c r="A444" i="10"/>
  <c r="A443" i="10"/>
  <c r="A442" i="10"/>
  <c r="A441" i="10"/>
  <c r="A440" i="10"/>
  <c r="A439" i="10"/>
  <c r="A438" i="10"/>
  <c r="A437" i="10"/>
  <c r="A436" i="10"/>
  <c r="A435" i="10"/>
  <c r="A434" i="10"/>
  <c r="I447" i="10"/>
  <c r="H447" i="10"/>
  <c r="G447" i="10"/>
  <c r="F447" i="10"/>
  <c r="E447" i="10"/>
  <c r="D447" i="10"/>
  <c r="B447" i="10"/>
  <c r="C445" i="10"/>
  <c r="C444" i="10"/>
  <c r="C443" i="10"/>
  <c r="C442" i="10"/>
  <c r="C441" i="10"/>
  <c r="C440" i="10"/>
  <c r="C439" i="10"/>
  <c r="C438" i="10"/>
  <c r="C437" i="10"/>
  <c r="C436" i="10"/>
  <c r="C435" i="10"/>
  <c r="C434" i="10"/>
  <c r="C463" i="10" l="1"/>
  <c r="C447" i="10"/>
  <c r="C413" i="1"/>
  <c r="C412" i="1"/>
  <c r="C411" i="1"/>
  <c r="C410" i="1"/>
  <c r="C409" i="1"/>
  <c r="C408" i="1"/>
  <c r="C407" i="1"/>
  <c r="C406" i="1"/>
  <c r="C405" i="1"/>
  <c r="C404" i="1"/>
  <c r="C403" i="1"/>
  <c r="D415" i="1"/>
  <c r="A410" i="9"/>
  <c r="A409" i="9"/>
  <c r="A408" i="9"/>
  <c r="A407" i="9"/>
  <c r="A406" i="9"/>
  <c r="A405" i="9"/>
  <c r="A404" i="9"/>
  <c r="A403" i="9"/>
  <c r="A402" i="9"/>
  <c r="A401" i="9"/>
  <c r="A400" i="9"/>
  <c r="A399" i="9"/>
  <c r="L412" i="9"/>
  <c r="K412" i="9"/>
  <c r="J412" i="9"/>
  <c r="I412" i="9"/>
  <c r="H412" i="9"/>
  <c r="G412" i="9"/>
  <c r="F412" i="9"/>
  <c r="E412" i="9"/>
  <c r="D412" i="9"/>
  <c r="C412" i="9"/>
  <c r="B412" i="9"/>
  <c r="A429" i="10"/>
  <c r="A428" i="10"/>
  <c r="A427" i="10"/>
  <c r="A426" i="10"/>
  <c r="A425" i="10"/>
  <c r="A424" i="10"/>
  <c r="A423" i="10"/>
  <c r="A422" i="10"/>
  <c r="A421" i="10"/>
  <c r="A420" i="10"/>
  <c r="A419" i="10"/>
  <c r="A418" i="10"/>
  <c r="I431" i="10"/>
  <c r="H431" i="10"/>
  <c r="G431" i="10"/>
  <c r="F431" i="10"/>
  <c r="E431" i="10"/>
  <c r="D431" i="10"/>
  <c r="B431" i="10"/>
  <c r="C429" i="10"/>
  <c r="C428" i="10"/>
  <c r="C427" i="10"/>
  <c r="C426" i="10"/>
  <c r="C425" i="10"/>
  <c r="C424" i="10"/>
  <c r="C423" i="10"/>
  <c r="C422" i="10"/>
  <c r="C421" i="10"/>
  <c r="C420" i="10"/>
  <c r="C419" i="10"/>
  <c r="C418" i="10"/>
  <c r="C398" i="1"/>
  <c r="C397" i="1"/>
  <c r="C396" i="1"/>
  <c r="C395" i="1"/>
  <c r="C394" i="1"/>
  <c r="C393" i="1"/>
  <c r="C392" i="1"/>
  <c r="C391" i="1"/>
  <c r="C390" i="1"/>
  <c r="C389" i="1"/>
  <c r="C388" i="1"/>
  <c r="D400" i="1"/>
  <c r="A396" i="9"/>
  <c r="A395" i="9"/>
  <c r="A394" i="9"/>
  <c r="A393" i="9"/>
  <c r="A392" i="9"/>
  <c r="A391" i="9"/>
  <c r="A390" i="9"/>
  <c r="A389" i="9"/>
  <c r="A388" i="9"/>
  <c r="A387" i="9"/>
  <c r="A386" i="9"/>
  <c r="A385" i="9"/>
  <c r="L398" i="9"/>
  <c r="K398" i="9"/>
  <c r="J398" i="9"/>
  <c r="I398" i="9"/>
  <c r="H398" i="9"/>
  <c r="G398" i="9"/>
  <c r="F398" i="9"/>
  <c r="E398" i="9"/>
  <c r="D398" i="9"/>
  <c r="C398" i="9"/>
  <c r="B398" i="9"/>
  <c r="A413" i="10"/>
  <c r="A412" i="10"/>
  <c r="A411" i="10"/>
  <c r="A410" i="10"/>
  <c r="A409" i="10"/>
  <c r="A408" i="10"/>
  <c r="A407" i="10"/>
  <c r="A406" i="10"/>
  <c r="A405" i="10"/>
  <c r="A404" i="10"/>
  <c r="A403" i="10"/>
  <c r="A402" i="10"/>
  <c r="I415" i="10"/>
  <c r="H415" i="10"/>
  <c r="G415" i="10"/>
  <c r="F415" i="10"/>
  <c r="E415" i="10"/>
  <c r="D415" i="10"/>
  <c r="B415" i="10"/>
  <c r="C413" i="10"/>
  <c r="C412" i="10"/>
  <c r="C411" i="10"/>
  <c r="C410" i="10"/>
  <c r="C409" i="10"/>
  <c r="C408" i="10"/>
  <c r="C407" i="10"/>
  <c r="C406" i="10"/>
  <c r="C405" i="10"/>
  <c r="C404" i="10"/>
  <c r="C403" i="10"/>
  <c r="C402" i="10"/>
  <c r="C431" i="10" l="1"/>
  <c r="C415" i="10"/>
  <c r="C383" i="1"/>
  <c r="C382" i="1"/>
  <c r="C381" i="1"/>
  <c r="C380" i="1"/>
  <c r="C379" i="1"/>
  <c r="C378" i="1"/>
  <c r="C377" i="1"/>
  <c r="C376" i="1"/>
  <c r="C375" i="1"/>
  <c r="C374" i="1"/>
  <c r="C373" i="1"/>
  <c r="D385" i="1"/>
  <c r="A382" i="9"/>
  <c r="A381" i="9"/>
  <c r="A380" i="9"/>
  <c r="A379" i="9"/>
  <c r="A378" i="9"/>
  <c r="A377" i="9"/>
  <c r="A376" i="9"/>
  <c r="A375" i="9"/>
  <c r="A374" i="9"/>
  <c r="A373" i="9"/>
  <c r="A372" i="9"/>
  <c r="A371" i="9"/>
  <c r="L384" i="9"/>
  <c r="K384" i="9"/>
  <c r="J384" i="9"/>
  <c r="I384" i="9"/>
  <c r="H384" i="9"/>
  <c r="G384" i="9"/>
  <c r="F384" i="9"/>
  <c r="E384" i="9"/>
  <c r="D384" i="9"/>
  <c r="C384" i="9"/>
  <c r="B384" i="9"/>
  <c r="A397" i="10"/>
  <c r="A396" i="10"/>
  <c r="A395" i="10"/>
  <c r="A394" i="10"/>
  <c r="A393" i="10"/>
  <c r="A392" i="10"/>
  <c r="A391" i="10"/>
  <c r="A390" i="10"/>
  <c r="A389" i="10"/>
  <c r="A388" i="10"/>
  <c r="A387" i="10"/>
  <c r="A386" i="10"/>
  <c r="I399" i="10"/>
  <c r="H399" i="10"/>
  <c r="G399" i="10"/>
  <c r="F399" i="10"/>
  <c r="E399" i="10"/>
  <c r="D399" i="10"/>
  <c r="B399" i="10"/>
  <c r="C397" i="10"/>
  <c r="C396" i="10"/>
  <c r="C395" i="10"/>
  <c r="C394" i="10"/>
  <c r="C393" i="10"/>
  <c r="C392" i="10"/>
  <c r="C391" i="10"/>
  <c r="C390" i="10"/>
  <c r="C389" i="10"/>
  <c r="C388" i="10"/>
  <c r="C387" i="10"/>
  <c r="C386" i="10"/>
  <c r="C399" i="10" l="1"/>
  <c r="C368" i="1"/>
  <c r="C367" i="1"/>
  <c r="C366" i="1"/>
  <c r="C365" i="1"/>
  <c r="C364" i="1"/>
  <c r="C363" i="1"/>
  <c r="C362" i="1"/>
  <c r="C361" i="1"/>
  <c r="C360" i="1"/>
  <c r="C359" i="1"/>
  <c r="C358" i="1"/>
  <c r="D370" i="1"/>
  <c r="A368" i="9"/>
  <c r="A367" i="9"/>
  <c r="A366" i="9"/>
  <c r="A365" i="9"/>
  <c r="A364" i="9"/>
  <c r="A363" i="9"/>
  <c r="A362" i="9"/>
  <c r="A361" i="9"/>
  <c r="A360" i="9"/>
  <c r="A359" i="9"/>
  <c r="A358" i="9"/>
  <c r="A357" i="9"/>
  <c r="L370" i="9"/>
  <c r="K370" i="9"/>
  <c r="J370" i="9"/>
  <c r="I370" i="9"/>
  <c r="H370" i="9"/>
  <c r="G370" i="9"/>
  <c r="F370" i="9"/>
  <c r="E370" i="9"/>
  <c r="D370" i="9"/>
  <c r="C370" i="9"/>
  <c r="B370" i="9"/>
  <c r="C372" i="10"/>
  <c r="C370" i="10"/>
  <c r="A381" i="10"/>
  <c r="A380" i="10"/>
  <c r="A379" i="10"/>
  <c r="A378" i="10"/>
  <c r="A377" i="10"/>
  <c r="A376" i="10"/>
  <c r="A375" i="10"/>
  <c r="A374" i="10"/>
  <c r="A373" i="10"/>
  <c r="A372" i="10"/>
  <c r="A371" i="10"/>
  <c r="A370" i="10"/>
  <c r="I383" i="10"/>
  <c r="H383" i="10"/>
  <c r="G383" i="10"/>
  <c r="F383" i="10"/>
  <c r="E383" i="10"/>
  <c r="D383" i="10"/>
  <c r="B383" i="10"/>
  <c r="C381" i="10"/>
  <c r="C380" i="10"/>
  <c r="C379" i="10"/>
  <c r="C378" i="10"/>
  <c r="C377" i="10"/>
  <c r="C376" i="10"/>
  <c r="C375" i="10"/>
  <c r="C374" i="10"/>
  <c r="C373" i="10"/>
  <c r="C371" i="10"/>
  <c r="C383" i="10" l="1"/>
  <c r="C365" i="10"/>
  <c r="C364" i="10" l="1"/>
  <c r="C363" i="10" l="1"/>
  <c r="C362" i="10" l="1"/>
  <c r="C361" i="10" l="1"/>
  <c r="C360" i="10" l="1"/>
  <c r="C359" i="10" l="1"/>
  <c r="C358" i="10" l="1"/>
  <c r="C357" i="10"/>
  <c r="C355" i="10"/>
  <c r="C353" i="1" l="1"/>
  <c r="C352" i="1"/>
  <c r="C351" i="1"/>
  <c r="C350" i="1"/>
  <c r="C349" i="1"/>
  <c r="C348" i="1"/>
  <c r="C347" i="1"/>
  <c r="C346" i="1"/>
  <c r="C345" i="1"/>
  <c r="C344" i="1"/>
  <c r="C343" i="1"/>
  <c r="D355" i="1"/>
  <c r="A354" i="9"/>
  <c r="A353" i="9"/>
  <c r="A352" i="9"/>
  <c r="A351" i="9"/>
  <c r="A350" i="9"/>
  <c r="A349" i="9"/>
  <c r="A348" i="9"/>
  <c r="A347" i="9"/>
  <c r="A346" i="9"/>
  <c r="A345" i="9"/>
  <c r="A344" i="9"/>
  <c r="A343" i="9"/>
  <c r="L356" i="9"/>
  <c r="K356" i="9"/>
  <c r="J356" i="9"/>
  <c r="I356" i="9"/>
  <c r="H356" i="9"/>
  <c r="G356" i="9"/>
  <c r="F356" i="9"/>
  <c r="E356" i="9"/>
  <c r="D356" i="9"/>
  <c r="C356" i="9"/>
  <c r="B356" i="9"/>
  <c r="A365" i="10"/>
  <c r="A364" i="10"/>
  <c r="A363" i="10"/>
  <c r="A362" i="10"/>
  <c r="A361" i="10"/>
  <c r="A360" i="10"/>
  <c r="A359" i="10"/>
  <c r="A358" i="10"/>
  <c r="A357" i="10"/>
  <c r="A356" i="10"/>
  <c r="A355" i="10"/>
  <c r="A354" i="10"/>
  <c r="I367" i="10"/>
  <c r="H367" i="10"/>
  <c r="G367" i="10"/>
  <c r="F367" i="10"/>
  <c r="E367" i="10"/>
  <c r="D367" i="10"/>
  <c r="C367" i="10"/>
  <c r="B367" i="10"/>
  <c r="K326" i="9" l="1"/>
  <c r="J326" i="9"/>
  <c r="D340" i="1" l="1"/>
  <c r="A349" i="10"/>
  <c r="A348" i="10"/>
  <c r="A347" i="10"/>
  <c r="A346" i="10"/>
  <c r="A345" i="10"/>
  <c r="A344" i="10"/>
  <c r="A343" i="10"/>
  <c r="A342" i="10"/>
  <c r="A341" i="10"/>
  <c r="A340" i="10"/>
  <c r="A339" i="10"/>
  <c r="A338" i="10"/>
  <c r="I351" i="10"/>
  <c r="H351" i="10"/>
  <c r="G351" i="10"/>
  <c r="F351" i="10"/>
  <c r="E351" i="10"/>
  <c r="D351" i="10"/>
  <c r="C351" i="10"/>
  <c r="B351" i="10"/>
  <c r="A339" i="9"/>
  <c r="A338" i="9"/>
  <c r="A337" i="9"/>
  <c r="A336" i="9"/>
  <c r="A335" i="9"/>
  <c r="A334" i="9"/>
  <c r="A333" i="9"/>
  <c r="A332" i="9"/>
  <c r="A331" i="9"/>
  <c r="A330" i="9"/>
  <c r="A329" i="9"/>
  <c r="A328" i="9"/>
  <c r="L341" i="9"/>
  <c r="K341" i="9"/>
  <c r="J341" i="9"/>
  <c r="I341" i="9"/>
  <c r="H341" i="9"/>
  <c r="G341" i="9"/>
  <c r="F341" i="9"/>
  <c r="E341" i="9"/>
  <c r="D341" i="9"/>
  <c r="C341" i="9"/>
  <c r="B341" i="9"/>
  <c r="L326" i="9"/>
  <c r="I326" i="9"/>
  <c r="H326" i="9"/>
  <c r="G326" i="9"/>
  <c r="F326" i="9"/>
  <c r="E326" i="9"/>
  <c r="D326" i="9"/>
  <c r="C326" i="9"/>
  <c r="B326" i="9"/>
  <c r="I335" i="10" l="1"/>
  <c r="H335" i="10"/>
  <c r="G335" i="10"/>
  <c r="F335" i="10"/>
  <c r="E335" i="10"/>
  <c r="D335" i="10"/>
  <c r="C335" i="10"/>
  <c r="B335" i="10"/>
  <c r="D325" i="1" l="1"/>
  <c r="A324" i="9" l="1"/>
  <c r="A323" i="9"/>
  <c r="A322" i="9"/>
  <c r="A321" i="9"/>
  <c r="A320" i="9"/>
  <c r="A319" i="9"/>
  <c r="A318" i="9"/>
  <c r="A317" i="9"/>
  <c r="A316" i="9"/>
  <c r="A315" i="9"/>
  <c r="A314" i="9"/>
  <c r="A313" i="9"/>
  <c r="D310" i="1" l="1"/>
  <c r="A317" i="10"/>
  <c r="A316" i="10"/>
  <c r="A315" i="10"/>
  <c r="A314" i="10"/>
  <c r="A313" i="10"/>
  <c r="A312" i="10"/>
  <c r="A311" i="10"/>
  <c r="A310" i="10"/>
  <c r="A309" i="10"/>
  <c r="A308" i="10"/>
  <c r="A307" i="10"/>
  <c r="A306" i="10"/>
  <c r="A309" i="9"/>
  <c r="A308" i="9"/>
  <c r="A307" i="9"/>
  <c r="A306" i="9"/>
  <c r="A305" i="9"/>
  <c r="A304" i="9"/>
  <c r="A303" i="9"/>
  <c r="A302" i="9"/>
  <c r="A301" i="9"/>
  <c r="A300" i="9"/>
  <c r="A299" i="9"/>
  <c r="A298" i="9"/>
  <c r="L311" i="9"/>
  <c r="K311" i="9"/>
  <c r="J311" i="9"/>
  <c r="I311" i="9"/>
  <c r="H311" i="9"/>
  <c r="G311" i="9"/>
  <c r="F311" i="9"/>
  <c r="E311" i="9"/>
  <c r="D311" i="9"/>
  <c r="C311" i="9"/>
  <c r="B311" i="9"/>
  <c r="I319" i="10"/>
  <c r="H319" i="10"/>
  <c r="G319" i="10"/>
  <c r="F319" i="10"/>
  <c r="E319" i="10"/>
  <c r="D319" i="10"/>
  <c r="C319" i="10"/>
  <c r="B319" i="10"/>
  <c r="A153" i="2"/>
  <c r="A152" i="2"/>
  <c r="A151" i="2"/>
  <c r="A150"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C293" i="1"/>
  <c r="C292" i="1"/>
  <c r="C291" i="1"/>
  <c r="C290" i="1"/>
  <c r="C289" i="1"/>
  <c r="C288" i="1"/>
  <c r="C287" i="1"/>
  <c r="C286" i="1"/>
  <c r="C285" i="1"/>
  <c r="C284" i="1"/>
  <c r="C283" i="1"/>
  <c r="C282" i="1"/>
  <c r="C278" i="1"/>
  <c r="C277" i="1"/>
  <c r="C276" i="1"/>
  <c r="C275" i="1"/>
  <c r="C274" i="1"/>
  <c r="C273" i="1"/>
  <c r="C272" i="1"/>
  <c r="C271" i="1"/>
  <c r="C270" i="1"/>
  <c r="C269" i="1"/>
  <c r="C268" i="1"/>
  <c r="C267" i="1"/>
  <c r="C252" i="1"/>
  <c r="C263" i="1"/>
  <c r="C262" i="1"/>
  <c r="C261" i="1"/>
  <c r="C260" i="1"/>
  <c r="C259" i="1"/>
  <c r="C258" i="1"/>
  <c r="C257" i="1"/>
  <c r="C256" i="1"/>
  <c r="C255" i="1"/>
  <c r="C254" i="1"/>
  <c r="C253" i="1"/>
  <c r="C248" i="1"/>
  <c r="C247" i="1"/>
  <c r="C246" i="1"/>
  <c r="C245" i="1"/>
  <c r="C244" i="1"/>
  <c r="C243" i="1"/>
  <c r="C242" i="1"/>
  <c r="C241" i="1"/>
  <c r="C240" i="1"/>
  <c r="C239" i="1"/>
  <c r="C238" i="1"/>
  <c r="C237" i="1"/>
  <c r="C231" i="1"/>
  <c r="C230" i="1"/>
  <c r="C229" i="1"/>
  <c r="C228" i="1"/>
  <c r="C227" i="1"/>
  <c r="C226" i="1"/>
  <c r="C225" i="1"/>
  <c r="C224" i="1"/>
  <c r="C223" i="1"/>
  <c r="C222" i="1"/>
  <c r="C221" i="1"/>
  <c r="C220" i="1"/>
  <c r="C214" i="1"/>
  <c r="C213" i="1"/>
  <c r="C212" i="1"/>
  <c r="C211" i="1"/>
  <c r="C210" i="1"/>
  <c r="C209" i="1"/>
  <c r="C208" i="1"/>
  <c r="C207" i="1"/>
  <c r="C206" i="1"/>
  <c r="C205" i="1"/>
  <c r="C204" i="1"/>
  <c r="C203" i="1"/>
  <c r="C197" i="1"/>
  <c r="C196" i="1"/>
  <c r="C195" i="1"/>
  <c r="C194" i="1"/>
  <c r="C193" i="1"/>
  <c r="C192" i="1"/>
  <c r="C191" i="1"/>
  <c r="C190" i="1"/>
  <c r="C189" i="1"/>
  <c r="C188" i="1"/>
  <c r="C187" i="1"/>
  <c r="C186" i="1"/>
  <c r="C180" i="1"/>
  <c r="C179" i="1"/>
  <c r="C178" i="1"/>
  <c r="C177" i="1"/>
  <c r="C176" i="1"/>
  <c r="C175" i="1"/>
  <c r="C174" i="1"/>
  <c r="C173" i="1"/>
  <c r="C172" i="1"/>
  <c r="C171" i="1"/>
  <c r="C170" i="1"/>
  <c r="C169" i="1"/>
  <c r="C165" i="1"/>
  <c r="C164" i="1"/>
  <c r="C163" i="1"/>
  <c r="C162" i="1"/>
  <c r="C161" i="1"/>
  <c r="C160" i="1"/>
  <c r="C159" i="1"/>
  <c r="C158" i="1"/>
  <c r="C157" i="1"/>
  <c r="C156" i="1"/>
  <c r="C155" i="1"/>
  <c r="C154" i="1"/>
  <c r="C150" i="1"/>
  <c r="C149" i="1"/>
  <c r="C148" i="1"/>
  <c r="C147" i="1"/>
  <c r="C146" i="1"/>
  <c r="C145" i="1"/>
  <c r="C144" i="1"/>
  <c r="C143" i="1"/>
  <c r="C142" i="1"/>
  <c r="C141" i="1"/>
  <c r="C140" i="1"/>
  <c r="C139" i="1"/>
  <c r="C135" i="1"/>
  <c r="C134" i="1"/>
  <c r="C133" i="1"/>
  <c r="C132" i="1"/>
  <c r="C131" i="1"/>
  <c r="C130" i="1"/>
  <c r="C129" i="1"/>
  <c r="C128" i="1"/>
  <c r="C127" i="1"/>
  <c r="C126" i="1"/>
  <c r="C125" i="1"/>
  <c r="C124" i="1"/>
  <c r="C120" i="1"/>
  <c r="C119" i="1"/>
  <c r="C118" i="1"/>
  <c r="C117" i="1"/>
  <c r="C116" i="1"/>
  <c r="C115" i="1"/>
  <c r="C114" i="1"/>
  <c r="C113" i="1"/>
  <c r="C112" i="1"/>
  <c r="C111" i="1"/>
  <c r="C110" i="1"/>
  <c r="C109" i="1"/>
  <c r="C105" i="1"/>
  <c r="C104" i="1"/>
  <c r="C103" i="1"/>
  <c r="C102" i="1"/>
  <c r="C101" i="1"/>
  <c r="C100" i="1"/>
  <c r="C99" i="1"/>
  <c r="C98" i="1"/>
  <c r="C97" i="1"/>
  <c r="C96" i="1"/>
  <c r="C95" i="1"/>
  <c r="C94" i="1"/>
  <c r="C90" i="1"/>
  <c r="C89" i="1"/>
  <c r="C88" i="1"/>
  <c r="C87" i="1"/>
  <c r="C86" i="1"/>
  <c r="C85" i="1"/>
  <c r="C84" i="1"/>
  <c r="C83" i="1"/>
  <c r="C82" i="1"/>
  <c r="C81" i="1"/>
  <c r="C80" i="1"/>
  <c r="C79" i="1"/>
  <c r="C75" i="1"/>
  <c r="C74" i="1"/>
  <c r="C73" i="1"/>
  <c r="C72" i="1"/>
  <c r="C71" i="1"/>
  <c r="C70" i="1"/>
  <c r="C69" i="1"/>
  <c r="C68" i="1"/>
  <c r="C67" i="1"/>
  <c r="C66" i="1"/>
  <c r="C65" i="1"/>
  <c r="C64" i="1"/>
  <c r="C60" i="1"/>
  <c r="C59" i="1"/>
  <c r="C58" i="1"/>
  <c r="C57" i="1"/>
  <c r="C56" i="1"/>
  <c r="C55" i="1"/>
  <c r="C54" i="1"/>
  <c r="C53" i="1"/>
  <c r="C52" i="1"/>
  <c r="C51" i="1"/>
  <c r="C50" i="1"/>
  <c r="C49" i="1"/>
  <c r="C45" i="1"/>
  <c r="C44" i="1"/>
  <c r="C43" i="1"/>
  <c r="C42" i="1"/>
  <c r="C41" i="1"/>
  <c r="C40" i="1"/>
  <c r="C39" i="1"/>
  <c r="C38" i="1"/>
  <c r="C37" i="1"/>
  <c r="C36" i="1"/>
  <c r="C35" i="1"/>
  <c r="C34" i="1"/>
  <c r="C30" i="1"/>
  <c r="C29" i="1"/>
  <c r="C28" i="1"/>
  <c r="C27" i="1"/>
  <c r="C26" i="1"/>
  <c r="C25" i="1"/>
  <c r="C24" i="1"/>
  <c r="C23" i="1"/>
  <c r="C22" i="1"/>
  <c r="C21" i="1"/>
  <c r="C20" i="1"/>
  <c r="C19" i="1"/>
  <c r="C15" i="1"/>
  <c r="C14" i="1"/>
  <c r="C13" i="1"/>
  <c r="C12" i="1"/>
  <c r="C11" i="1"/>
  <c r="C10" i="1"/>
  <c r="C9" i="1"/>
  <c r="C8" i="1"/>
  <c r="C7" i="1"/>
  <c r="C6" i="1"/>
  <c r="C5" i="1"/>
  <c r="C4" i="1"/>
  <c r="A301" i="10"/>
  <c r="A300" i="10"/>
  <c r="A299" i="10"/>
  <c r="A298" i="10"/>
  <c r="A297" i="10"/>
  <c r="A296" i="10"/>
  <c r="A295" i="10"/>
  <c r="A294" i="10"/>
  <c r="A293" i="10"/>
  <c r="A292" i="10"/>
  <c r="A291" i="10"/>
  <c r="A290" i="10"/>
  <c r="A285" i="10"/>
  <c r="A284" i="10"/>
  <c r="A283" i="10"/>
  <c r="A282" i="10"/>
  <c r="A281" i="10"/>
  <c r="A280" i="10"/>
  <c r="A279" i="10"/>
  <c r="A278" i="10"/>
  <c r="A277" i="10"/>
  <c r="A276" i="10"/>
  <c r="A275" i="10"/>
  <c r="A274" i="10"/>
  <c r="A269" i="10"/>
  <c r="A268" i="10"/>
  <c r="A267" i="10"/>
  <c r="A266" i="10"/>
  <c r="A265" i="10"/>
  <c r="A264" i="10"/>
  <c r="A263" i="10"/>
  <c r="A262" i="10"/>
  <c r="A261" i="10"/>
  <c r="A260" i="10"/>
  <c r="A259" i="10"/>
  <c r="A258" i="10"/>
  <c r="A253" i="10"/>
  <c r="A252" i="10"/>
  <c r="A251" i="10"/>
  <c r="A250" i="10"/>
  <c r="A249" i="10"/>
  <c r="A248" i="10"/>
  <c r="A247" i="10"/>
  <c r="A246" i="10"/>
  <c r="A245" i="10"/>
  <c r="A244" i="10"/>
  <c r="A243" i="10"/>
  <c r="A242" i="10"/>
  <c r="A236" i="10"/>
  <c r="A235" i="10"/>
  <c r="A234" i="10"/>
  <c r="A233" i="10"/>
  <c r="A232" i="10"/>
  <c r="A231" i="10"/>
  <c r="A230" i="10"/>
  <c r="A229" i="10"/>
  <c r="A228" i="10"/>
  <c r="A227" i="10"/>
  <c r="A226" i="10"/>
  <c r="A225" i="10"/>
  <c r="A218" i="10"/>
  <c r="A217" i="10"/>
  <c r="A216" i="10"/>
  <c r="A215" i="10"/>
  <c r="A214" i="10"/>
  <c r="A213" i="10"/>
  <c r="A212" i="10"/>
  <c r="A211" i="10"/>
  <c r="A210" i="10"/>
  <c r="A209" i="10"/>
  <c r="A208" i="10"/>
  <c r="A207" i="10"/>
  <c r="A200" i="10"/>
  <c r="A199" i="10"/>
  <c r="A198" i="10"/>
  <c r="A197" i="10"/>
  <c r="A196" i="10"/>
  <c r="A195" i="10"/>
  <c r="A194" i="10"/>
  <c r="A193" i="10"/>
  <c r="A192" i="10"/>
  <c r="A191" i="10"/>
  <c r="A190" i="10"/>
  <c r="A189" i="10"/>
  <c r="A182" i="10"/>
  <c r="A181" i="10"/>
  <c r="A180" i="10"/>
  <c r="A179" i="10"/>
  <c r="A178" i="10"/>
  <c r="A177" i="10"/>
  <c r="A176" i="10"/>
  <c r="A175" i="10"/>
  <c r="A174" i="10"/>
  <c r="A173" i="10"/>
  <c r="A172" i="10"/>
  <c r="A171" i="10"/>
  <c r="A165" i="10"/>
  <c r="A164" i="10"/>
  <c r="A163" i="10"/>
  <c r="A162" i="10"/>
  <c r="A161" i="10"/>
  <c r="A160" i="10"/>
  <c r="A159" i="10"/>
  <c r="A158" i="10"/>
  <c r="A157" i="10"/>
  <c r="A156" i="10"/>
  <c r="A155" i="10"/>
  <c r="A154" i="10"/>
  <c r="A150" i="10"/>
  <c r="A149" i="10"/>
  <c r="A148" i="10"/>
  <c r="A147" i="10"/>
  <c r="A146" i="10"/>
  <c r="A145" i="10"/>
  <c r="A144" i="10"/>
  <c r="A143" i="10"/>
  <c r="A142" i="10"/>
  <c r="A141" i="10"/>
  <c r="A140" i="10"/>
  <c r="A139" i="10"/>
  <c r="A135" i="10"/>
  <c r="A134" i="10"/>
  <c r="A133" i="10"/>
  <c r="A132" i="10"/>
  <c r="A131" i="10"/>
  <c r="A130" i="10"/>
  <c r="A129" i="10"/>
  <c r="A128" i="10"/>
  <c r="A127" i="10"/>
  <c r="A126" i="10"/>
  <c r="A125" i="10"/>
  <c r="A124" i="10"/>
  <c r="A120" i="10"/>
  <c r="A119" i="10"/>
  <c r="A118" i="10"/>
  <c r="A117" i="10"/>
  <c r="A116" i="10"/>
  <c r="A115" i="10"/>
  <c r="A114" i="10"/>
  <c r="A113" i="10"/>
  <c r="A112" i="10"/>
  <c r="A111" i="10"/>
  <c r="A110" i="10"/>
  <c r="A109" i="10"/>
  <c r="A105" i="10"/>
  <c r="A104" i="10"/>
  <c r="A103" i="10"/>
  <c r="A102" i="10"/>
  <c r="A101" i="10"/>
  <c r="A100" i="10"/>
  <c r="A99" i="10"/>
  <c r="A98" i="10"/>
  <c r="A97" i="10"/>
  <c r="A96" i="10"/>
  <c r="A95" i="10"/>
  <c r="A94" i="10"/>
  <c r="A90" i="10"/>
  <c r="A89" i="10"/>
  <c r="A88" i="10"/>
  <c r="A87" i="10"/>
  <c r="A86" i="10"/>
  <c r="A85" i="10"/>
  <c r="A84" i="10"/>
  <c r="A83" i="10"/>
  <c r="A82" i="10"/>
  <c r="A81" i="10"/>
  <c r="A80" i="10"/>
  <c r="A79" i="10"/>
  <c r="A75" i="10"/>
  <c r="A74" i="10"/>
  <c r="A73" i="10"/>
  <c r="A72" i="10"/>
  <c r="A71" i="10"/>
  <c r="A70" i="10"/>
  <c r="A69" i="10"/>
  <c r="A68" i="10"/>
  <c r="A67" i="10"/>
  <c r="A66" i="10"/>
  <c r="A65" i="10"/>
  <c r="A64" i="10"/>
  <c r="A60" i="10"/>
  <c r="A59" i="10"/>
  <c r="A58" i="10"/>
  <c r="A57" i="10"/>
  <c r="A56" i="10"/>
  <c r="A55" i="10"/>
  <c r="A54" i="10"/>
  <c r="A53" i="10"/>
  <c r="A52" i="10"/>
  <c r="A51" i="10"/>
  <c r="A50" i="10"/>
  <c r="A49" i="10"/>
  <c r="A45" i="10"/>
  <c r="A44" i="10"/>
  <c r="A43" i="10"/>
  <c r="A42" i="10"/>
  <c r="A41" i="10"/>
  <c r="A40" i="10"/>
  <c r="A39" i="10"/>
  <c r="A38" i="10"/>
  <c r="A37" i="10"/>
  <c r="A36" i="10"/>
  <c r="A35" i="10"/>
  <c r="A34" i="10"/>
  <c r="A30" i="10"/>
  <c r="A29" i="10"/>
  <c r="A28" i="10"/>
  <c r="A27" i="10"/>
  <c r="A26" i="10"/>
  <c r="A25" i="10"/>
  <c r="A24" i="10"/>
  <c r="A23" i="10"/>
  <c r="A22" i="10"/>
  <c r="A21" i="10"/>
  <c r="A20" i="10"/>
  <c r="A19" i="10"/>
  <c r="A15" i="10"/>
  <c r="A14" i="10"/>
  <c r="A13" i="10"/>
  <c r="A12" i="10"/>
  <c r="A11" i="10"/>
  <c r="A10" i="10"/>
  <c r="A9" i="10"/>
  <c r="A8" i="10"/>
  <c r="A7" i="10"/>
  <c r="A6" i="10"/>
  <c r="A5" i="10"/>
  <c r="A4" i="10"/>
  <c r="A294" i="9"/>
  <c r="A293" i="9"/>
  <c r="A292" i="9"/>
  <c r="A291" i="9"/>
  <c r="A290" i="9"/>
  <c r="A289" i="9"/>
  <c r="A288" i="9"/>
  <c r="A287" i="9"/>
  <c r="A286" i="9"/>
  <c r="A285" i="9"/>
  <c r="A284" i="9"/>
  <c r="A283" i="9"/>
  <c r="A279" i="9"/>
  <c r="A278" i="9"/>
  <c r="A277" i="9"/>
  <c r="A276" i="9"/>
  <c r="A275" i="9"/>
  <c r="A274" i="9"/>
  <c r="A273" i="9"/>
  <c r="A272" i="9"/>
  <c r="A271" i="9"/>
  <c r="A270" i="9"/>
  <c r="A269" i="9"/>
  <c r="A268" i="9"/>
  <c r="A264" i="9"/>
  <c r="A263" i="9"/>
  <c r="A262" i="9"/>
  <c r="A261" i="9"/>
  <c r="A260" i="9"/>
  <c r="A259" i="9"/>
  <c r="A258" i="9"/>
  <c r="A257" i="9"/>
  <c r="A256" i="9"/>
  <c r="A255" i="9"/>
  <c r="A254" i="9"/>
  <c r="A253" i="9"/>
  <c r="A249" i="9"/>
  <c r="A248" i="9"/>
  <c r="A247" i="9"/>
  <c r="A246" i="9"/>
  <c r="A245" i="9"/>
  <c r="A244" i="9"/>
  <c r="A243" i="9"/>
  <c r="A242" i="9"/>
  <c r="A241" i="9"/>
  <c r="A240" i="9"/>
  <c r="A239" i="9"/>
  <c r="A238" i="9"/>
  <c r="A233" i="9"/>
  <c r="A232" i="9"/>
  <c r="A231" i="9"/>
  <c r="A230" i="9"/>
  <c r="A229" i="9"/>
  <c r="A228" i="9"/>
  <c r="A227" i="9"/>
  <c r="A226" i="9"/>
  <c r="A225" i="9"/>
  <c r="A224" i="9"/>
  <c r="A223" i="9"/>
  <c r="A222" i="9"/>
  <c r="A217" i="9"/>
  <c r="A216" i="9"/>
  <c r="A215" i="9"/>
  <c r="A214" i="9"/>
  <c r="A213" i="9"/>
  <c r="A212" i="9"/>
  <c r="A211" i="9"/>
  <c r="A210" i="9"/>
  <c r="A209" i="9"/>
  <c r="A208" i="9"/>
  <c r="A207" i="9"/>
  <c r="A206" i="9"/>
  <c r="A200" i="9"/>
  <c r="A199" i="9"/>
  <c r="A198" i="9"/>
  <c r="A197" i="9"/>
  <c r="A196" i="9"/>
  <c r="A195" i="9"/>
  <c r="A194" i="9"/>
  <c r="A193" i="9"/>
  <c r="A192" i="9"/>
  <c r="A191" i="9"/>
  <c r="A190" i="9"/>
  <c r="A189" i="9"/>
  <c r="A183" i="9"/>
  <c r="A182" i="9"/>
  <c r="A181" i="9"/>
  <c r="A180" i="9"/>
  <c r="A179" i="9"/>
  <c r="A178" i="9"/>
  <c r="A177" i="9"/>
  <c r="A176" i="9"/>
  <c r="A175" i="9"/>
  <c r="A174" i="9"/>
  <c r="A173" i="9"/>
  <c r="A172" i="9"/>
  <c r="A166" i="9"/>
  <c r="A165" i="9"/>
  <c r="A164" i="9"/>
  <c r="A163" i="9"/>
  <c r="A162" i="9"/>
  <c r="A161" i="9"/>
  <c r="A160" i="9"/>
  <c r="A159" i="9"/>
  <c r="A158" i="9"/>
  <c r="A157" i="9"/>
  <c r="A156" i="9"/>
  <c r="A155" i="9"/>
  <c r="A151" i="9"/>
  <c r="A150" i="9"/>
  <c r="A149" i="9"/>
  <c r="A148" i="9"/>
  <c r="A147" i="9"/>
  <c r="A146" i="9"/>
  <c r="A145" i="9"/>
  <c r="A144" i="9"/>
  <c r="A143" i="9"/>
  <c r="A142" i="9"/>
  <c r="A141" i="9"/>
  <c r="A140" i="9"/>
  <c r="A135" i="9"/>
  <c r="A134" i="9"/>
  <c r="A133" i="9"/>
  <c r="A132" i="9"/>
  <c r="A131" i="9"/>
  <c r="A130" i="9"/>
  <c r="A129" i="9"/>
  <c r="A128" i="9"/>
  <c r="A127" i="9"/>
  <c r="A126" i="9"/>
  <c r="A125" i="9"/>
  <c r="A124" i="9"/>
  <c r="A120" i="9"/>
  <c r="A119" i="9"/>
  <c r="A118" i="9"/>
  <c r="A117" i="9"/>
  <c r="A116" i="9"/>
  <c r="A115" i="9"/>
  <c r="A114" i="9"/>
  <c r="A113" i="9"/>
  <c r="A112" i="9"/>
  <c r="A111" i="9"/>
  <c r="A110" i="9"/>
  <c r="A109" i="9"/>
  <c r="A105" i="9"/>
  <c r="A104" i="9"/>
  <c r="A103" i="9"/>
  <c r="A102" i="9"/>
  <c r="A101" i="9"/>
  <c r="A100" i="9"/>
  <c r="A99" i="9"/>
  <c r="A98" i="9"/>
  <c r="A97" i="9"/>
  <c r="A96" i="9"/>
  <c r="A95" i="9"/>
  <c r="A94" i="9"/>
  <c r="A90" i="9"/>
  <c r="A89" i="9"/>
  <c r="A88" i="9"/>
  <c r="A87" i="9"/>
  <c r="A86" i="9"/>
  <c r="A85" i="9"/>
  <c r="A84" i="9"/>
  <c r="A82" i="9"/>
  <c r="A83" i="9"/>
  <c r="A81" i="9"/>
  <c r="A80" i="9"/>
  <c r="A79" i="9"/>
  <c r="A75" i="9"/>
  <c r="A74" i="9"/>
  <c r="A73" i="9"/>
  <c r="A72" i="9"/>
  <c r="A71" i="9"/>
  <c r="A70" i="9"/>
  <c r="A69" i="9"/>
  <c r="A68" i="9"/>
  <c r="A67" i="9"/>
  <c r="A66" i="9"/>
  <c r="A65" i="9"/>
  <c r="A64" i="9"/>
  <c r="A60" i="9"/>
  <c r="A59" i="9"/>
  <c r="A58" i="9"/>
  <c r="A57" i="9"/>
  <c r="A56" i="9"/>
  <c r="A55" i="9"/>
  <c r="A54" i="9"/>
  <c r="A53" i="9"/>
  <c r="A52" i="9"/>
  <c r="A51" i="9"/>
  <c r="A50" i="9"/>
  <c r="A49" i="9"/>
  <c r="A45" i="9"/>
  <c r="A44" i="9"/>
  <c r="A43" i="9"/>
  <c r="A42" i="9"/>
  <c r="A41" i="9"/>
  <c r="A40" i="9"/>
  <c r="A39" i="9"/>
  <c r="A38" i="9"/>
  <c r="A37" i="9"/>
  <c r="A36" i="9"/>
  <c r="A35" i="9"/>
  <c r="A34" i="9"/>
  <c r="A30" i="9"/>
  <c r="A29" i="9"/>
  <c r="A28" i="9"/>
  <c r="A27" i="9"/>
  <c r="A26" i="9"/>
  <c r="A25" i="9"/>
  <c r="A24" i="9"/>
  <c r="A23" i="9"/>
  <c r="A22" i="9"/>
  <c r="A21" i="9"/>
  <c r="A20" i="9"/>
  <c r="A19" i="9"/>
  <c r="A15" i="9"/>
  <c r="A14" i="9"/>
  <c r="A13" i="9"/>
  <c r="A12" i="9"/>
  <c r="A11" i="9"/>
  <c r="A10" i="9"/>
  <c r="A9" i="9"/>
  <c r="A8" i="9"/>
  <c r="A7" i="9"/>
  <c r="A6" i="9"/>
  <c r="A5" i="9"/>
  <c r="A4" i="9"/>
  <c r="G271" i="10"/>
  <c r="F271" i="10"/>
  <c r="G255" i="10"/>
  <c r="F255" i="10"/>
  <c r="D295" i="1"/>
  <c r="L296" i="9"/>
  <c r="K296" i="9"/>
  <c r="J296" i="9"/>
  <c r="I296" i="9"/>
  <c r="H296" i="9"/>
  <c r="G296" i="9"/>
  <c r="F296" i="9"/>
  <c r="E296" i="9"/>
  <c r="D296" i="9"/>
  <c r="C296" i="9"/>
  <c r="B296" i="9"/>
  <c r="I303" i="10"/>
  <c r="H303" i="10"/>
  <c r="G303" i="10"/>
  <c r="F303" i="10"/>
  <c r="E303" i="10"/>
  <c r="D303" i="10"/>
  <c r="C303" i="10"/>
  <c r="B303" i="10"/>
  <c r="K281" i="9"/>
  <c r="I281" i="9"/>
  <c r="H281" i="9"/>
  <c r="G281" i="9"/>
  <c r="F281" i="9"/>
  <c r="E281" i="9"/>
  <c r="D281" i="9"/>
  <c r="G287" i="10"/>
  <c r="F287" i="10"/>
  <c r="D280" i="1"/>
  <c r="L281" i="9"/>
  <c r="J281" i="9"/>
  <c r="C281" i="9"/>
  <c r="B281" i="9"/>
  <c r="I287" i="10"/>
  <c r="H287" i="10"/>
  <c r="E287" i="10"/>
  <c r="D287" i="10"/>
  <c r="C287" i="10"/>
  <c r="B287" i="10"/>
  <c r="I266" i="9"/>
  <c r="H266" i="9"/>
  <c r="G266" i="9"/>
  <c r="F266" i="9"/>
  <c r="E266" i="9"/>
  <c r="D266" i="9"/>
  <c r="D265" i="1"/>
  <c r="I271" i="10"/>
  <c r="H271" i="10"/>
  <c r="E271" i="10"/>
  <c r="D271" i="10"/>
  <c r="C271" i="10"/>
  <c r="B271" i="10"/>
  <c r="B266" i="9"/>
  <c r="C266" i="9"/>
  <c r="L266" i="9"/>
  <c r="K266" i="9"/>
  <c r="J266" i="9"/>
  <c r="I255" i="10"/>
  <c r="H255" i="10"/>
  <c r="E255" i="10"/>
  <c r="D255" i="10"/>
  <c r="C255" i="10"/>
  <c r="B255" i="10"/>
  <c r="L251" i="9"/>
  <c r="K251" i="9"/>
  <c r="J251" i="9"/>
  <c r="C251" i="9"/>
  <c r="B251" i="9"/>
  <c r="D250" i="1"/>
  <c r="D233" i="1"/>
  <c r="I238" i="10"/>
  <c r="H238" i="10"/>
  <c r="G238" i="10"/>
  <c r="F238" i="10"/>
  <c r="E238" i="10"/>
  <c r="D238" i="10"/>
  <c r="C238" i="10"/>
  <c r="B238" i="10"/>
  <c r="B235" i="9"/>
  <c r="C235" i="9"/>
  <c r="J235" i="9"/>
  <c r="K235" i="9"/>
  <c r="L235" i="9"/>
  <c r="D216" i="1"/>
  <c r="L219" i="9"/>
  <c r="K219" i="9"/>
  <c r="J219" i="9"/>
  <c r="C219" i="9"/>
  <c r="B219" i="9"/>
  <c r="I220" i="10"/>
  <c r="H220" i="10"/>
  <c r="G220" i="10"/>
  <c r="F220" i="10"/>
  <c r="E220" i="10"/>
  <c r="D220" i="10"/>
  <c r="C220" i="10"/>
  <c r="B220" i="10"/>
  <c r="D199" i="1"/>
  <c r="L202" i="9"/>
  <c r="K202" i="9"/>
  <c r="J202" i="9"/>
  <c r="C202" i="9"/>
  <c r="B202" i="9"/>
  <c r="I202" i="10"/>
  <c r="H202" i="10"/>
  <c r="G202" i="10"/>
  <c r="F202" i="10"/>
  <c r="E202" i="10"/>
  <c r="D202" i="10"/>
  <c r="C202" i="10"/>
  <c r="B202" i="10"/>
  <c r="D182" i="1"/>
  <c r="L185" i="9"/>
  <c r="K185" i="9"/>
  <c r="J185" i="9"/>
  <c r="C185" i="9"/>
  <c r="B185" i="9"/>
  <c r="I184" i="10"/>
  <c r="H184" i="10"/>
  <c r="G184" i="10"/>
  <c r="F184" i="10"/>
  <c r="E184" i="10"/>
  <c r="D184" i="10"/>
  <c r="C184" i="10"/>
  <c r="B184" i="10"/>
  <c r="D167" i="1"/>
  <c r="L168" i="9"/>
  <c r="K168" i="9"/>
  <c r="J168" i="9"/>
  <c r="C168" i="9"/>
  <c r="B168" i="9"/>
  <c r="I167" i="10"/>
  <c r="H167" i="10"/>
  <c r="G167" i="10"/>
  <c r="F167" i="10"/>
  <c r="E167" i="10"/>
  <c r="D167" i="10"/>
  <c r="C167" i="10"/>
  <c r="B167" i="10"/>
  <c r="K153" i="9"/>
  <c r="D152" i="1"/>
  <c r="L153" i="9"/>
  <c r="J153" i="9"/>
  <c r="C153" i="9"/>
  <c r="B153" i="9"/>
  <c r="D137" i="10"/>
  <c r="C152" i="10"/>
  <c r="D152" i="10"/>
  <c r="E152" i="10"/>
  <c r="F152" i="10"/>
  <c r="G152" i="10"/>
  <c r="H152" i="10"/>
  <c r="I152" i="10"/>
  <c r="B152" i="10"/>
  <c r="H137" i="10"/>
  <c r="D137" i="1"/>
  <c r="L137" i="9"/>
  <c r="K137" i="9"/>
  <c r="J137" i="9"/>
  <c r="C137" i="9"/>
  <c r="B137" i="9"/>
  <c r="I137" i="10"/>
  <c r="G137" i="10"/>
  <c r="F137" i="10"/>
  <c r="E137" i="10"/>
  <c r="C137" i="10"/>
  <c r="B137" i="10"/>
  <c r="G122" i="10"/>
  <c r="D122" i="1"/>
  <c r="L122" i="9"/>
  <c r="K122" i="9"/>
  <c r="J122" i="9"/>
  <c r="C122" i="9"/>
  <c r="B122" i="9"/>
  <c r="I122" i="10"/>
  <c r="H122" i="10"/>
  <c r="F122" i="10"/>
  <c r="E122" i="10"/>
  <c r="D122" i="10"/>
  <c r="C122" i="10"/>
  <c r="B122" i="10"/>
  <c r="I107" i="10"/>
  <c r="H107" i="10"/>
  <c r="F107" i="10"/>
  <c r="E107" i="10"/>
  <c r="D107" i="10"/>
  <c r="C107" i="10"/>
  <c r="B107" i="10"/>
  <c r="I92" i="10"/>
  <c r="H92" i="10"/>
  <c r="F92" i="10"/>
  <c r="E92" i="10"/>
  <c r="D92" i="10"/>
  <c r="C92" i="10"/>
  <c r="B92" i="10"/>
  <c r="I77" i="10"/>
  <c r="H77" i="10"/>
  <c r="F77" i="10"/>
  <c r="E77" i="10"/>
  <c r="D77" i="10"/>
  <c r="C77" i="10"/>
  <c r="B77" i="10"/>
  <c r="I62" i="10"/>
  <c r="H62" i="10"/>
  <c r="F62" i="10"/>
  <c r="E62" i="10"/>
  <c r="D62" i="10"/>
  <c r="C62" i="10"/>
  <c r="B62" i="10"/>
  <c r="I47" i="10"/>
  <c r="H47" i="10"/>
  <c r="F47" i="10"/>
  <c r="E47" i="10"/>
  <c r="D47" i="10"/>
  <c r="C47" i="10"/>
  <c r="B47" i="10"/>
  <c r="I32" i="10"/>
  <c r="H32" i="10"/>
  <c r="F32" i="10"/>
  <c r="E32" i="10"/>
  <c r="D32" i="10"/>
  <c r="C32" i="10"/>
  <c r="B32" i="10"/>
  <c r="I17" i="10"/>
  <c r="H17" i="10"/>
  <c r="F17" i="10"/>
  <c r="E17" i="10"/>
  <c r="D17" i="10"/>
  <c r="C17" i="10"/>
  <c r="B17" i="10"/>
  <c r="D107" i="1"/>
  <c r="D92" i="1"/>
  <c r="D77" i="1"/>
  <c r="D62" i="1"/>
  <c r="D47" i="1"/>
  <c r="D32" i="1"/>
  <c r="D17" i="1"/>
  <c r="L107" i="9"/>
  <c r="K107" i="9"/>
  <c r="J107" i="9"/>
  <c r="C107" i="9"/>
  <c r="B107" i="9"/>
  <c r="L92" i="9"/>
  <c r="K92" i="9"/>
  <c r="J92" i="9"/>
  <c r="C92" i="9"/>
  <c r="B92" i="9"/>
  <c r="L77" i="9"/>
  <c r="K77" i="9"/>
  <c r="J77" i="9"/>
  <c r="C77" i="9"/>
  <c r="B77" i="9"/>
  <c r="K62" i="9"/>
  <c r="J62" i="9"/>
  <c r="C62" i="9"/>
  <c r="B62" i="9"/>
  <c r="K47" i="9"/>
  <c r="J47" i="9"/>
  <c r="C47" i="9"/>
  <c r="B47" i="9"/>
  <c r="K32" i="9"/>
  <c r="J32" i="9"/>
  <c r="C32" i="9"/>
  <c r="B32" i="9"/>
  <c r="K17" i="9"/>
  <c r="J17" i="9"/>
  <c r="C17" i="9"/>
  <c r="B17" i="9"/>
</calcChain>
</file>

<file path=xl/sharedStrings.xml><?xml version="1.0" encoding="utf-8"?>
<sst xmlns="http://schemas.openxmlformats.org/spreadsheetml/2006/main" count="926" uniqueCount="261">
  <si>
    <t>1.  Previous FHWA-551M reports completed by KYTC have used KRC's Report #RARP027 to compile the gallon statistics.  This report is a monthly report of road fund dollars received/deposited and refunded for a montly period.  The receipts number includes any penalty and interest paid, redeposits of cold checks, assessment tax dollars paid, journal voucher debits and credits, and deductions of refunds paid directly to a dealer.  It is not indicative of the actual month/year motor fuel gallon activity.  The refund gallons were calculated by taking the total dollars refunded per category and dividing by the type tax rate.  Since not all refund classes were distinguishable on this report and some refunds are a partial calculation, the numbers used are not a valid indicator of refunded gallons per classification (aviation, watercraft, transit and non-highway gallons).  KRC recommends using actual gallons compiled by the Motor Fuels Tax Section instead of trying to calculate the gallons using dollars collected and refunded.</t>
  </si>
  <si>
    <t>SPECIAL FUELS GALLON DATA</t>
  </si>
  <si>
    <t>TOTALS</t>
  </si>
  <si>
    <t>Credit Gallons</t>
  </si>
  <si>
    <t>Special Fuels Refund Gallons - Non-Highway Use</t>
  </si>
  <si>
    <t xml:space="preserve"> Special Fuels Refund Gallons - Watercraft</t>
  </si>
  <si>
    <t>Motor Carrier - normal use adjustment</t>
  </si>
  <si>
    <t>KYTC data</t>
  </si>
  <si>
    <r>
      <t xml:space="preserve">The taxable gallons of motor fuel compiled from the monthly dealer's tax reports.  This corresponds to the gallon number provided on Form FHWA-551M, Line 1 for Gasoline (after gasohol deduction, addition of accountable loss gallons and motor carriers adjustment) and Highway LP Gas.  It is the starting point for Highway Diesel computation on Line 1.  The Highway Diesel computation of </t>
    </r>
    <r>
      <rPr>
        <u/>
        <sz val="8"/>
        <rFont val="Comic Sans MS"/>
        <family val="4"/>
      </rPr>
      <t>Taxable Gallons minus Credit Gallons and Refunds</t>
    </r>
    <r>
      <rPr>
        <sz val="8"/>
        <rFont val="Comic Sans MS"/>
        <family val="4"/>
      </rPr>
      <t xml:space="preserve"> is entered on Line 1 under the Highway Diesel column of form FHWA-551M.</t>
    </r>
  </si>
  <si>
    <t>This adjustment is calculated by the Division of Planning from data received from their Motor Carriers and Accounts Divisions.  This total is added/subtracted to/from Taxable Gallons on line 1 of form FHWA-551M as determined appropriate.</t>
  </si>
  <si>
    <t>The alcohol gallons are taxable gallons which are included in the Taxable Gallons total.  Kentucky motor fuels statutes do not define "gasohol" ;therefore, any alcohol gallons blended with gasoline is considered as a gasoline under the statutes.  Kentucky licensed gasoline dealers voluntarily provide the total gallons of alcohol which are included in their total taxable gasoline gallons.   In order to provide an average gasohol gallon estimate for form FHWA-551M, multiply the alcohol gallon number by 10 to achieve an average 9 to 1 ratio.  Deduct this amount from the total taxable gallons.  Enter on Line 1 under Gasohol column on Form FHWA-551M.</t>
  </si>
  <si>
    <t>The gallons reported by licensed Kentucky gasoline and special fuels dealers are for casualty loss types:  Wrecking of transportation conveyance, explosion, fire, flood , other casualty loss, or contamination and returned to storage.  Under KRS 138.210(1), this is an itemized report deduction.  These gallons are reported on Line 2b for form FHWA-551M on gasoline only and are added to Taxable Gallons on line 1.  The special fuels gallons are not a factor in the diesel computation since they are not included in the "Taxable Gallons" total.</t>
  </si>
  <si>
    <t>The gallons reported by licensed Kentucky gasoline and special fuels dealers are for distributions to agencies or instrumentalities of the U. S. Government in BULK only.  Purchases by the federal government at retail locations are not exempt under Kentucky motor fuels statutes and therefore, these highway use gallons are not reflected in this total.  These gallons are reported on Line 2C for form FHWA-551M on gasoline only and are added to Taxable Gallons on line 1.  The special fuels gallons are not a factor in the diesel computation since they are not included in the Taxable Gallons total and KRC cannot distinguish between highway and non-highway use.</t>
  </si>
  <si>
    <t>These gallons are taken as deductions on the dealer's monthly special fuels tax report after the taxable gallons computation.  The gallons are all non-highway use and therefore, should  be deducted from the Taxable Gallons total.  Credits uses are:  agricultural, residential heating, state/local governments, and non-profitreligious, charitable and educational organizations.  The total is deducted from Taxable Gallons on line 1 of form FHWA-551M under the Highway Diesel column only.</t>
  </si>
  <si>
    <t>The gallons of special fuels refunded for non-highwayl purposes is taken from the month and year in which the refund applications were processed by the Motor Fuels Tax Section.  Refund applications received are for numerous periods up to 5 years under KRS 138.300.  The Motor Fuels Tax Section does not correlate this data to correspond to the dealer's report data.  The gallons are fully refundable under KRS 138.344.  These gallons are deducted from Taxable Gallons on Line 1 of form FHWA-551M under the Highway Diesel column only.</t>
  </si>
  <si>
    <t xml:space="preserve">The gallons of special fuels refunded for watercraft purposes is taken from the month and year in which the refund applications were processed by the Motor Fuels Tax Section.  Refund applications received are for numerous periods up to 5 years under KRS 138.300.  The Motor Fuels Tax Section does not correlate this data to correspond to the dealer's report data.  The gallons are fully refundable under KRS 138.445.  These gallons are deducted from Taxable Gallons on Line 1 of form FHWA-551M under the Highway Diesel column only.  </t>
  </si>
  <si>
    <t>LIQUEFIED PETROLEUM GAS GALLON DATA</t>
  </si>
  <si>
    <t>3. In the March 31 meeting, FHWA officials stated that they wanted all highway use gallons included on Line 1 under the Highway Diesel column.  With the consensus between KYTC and KRC to use actual gallon statistics rather than receipt calculations to provide the FHWA-551M data, special fuels refunds with the classification named "transit" is not required.  These gallons would be included in Taxable Gallons on Line 1.</t>
  </si>
  <si>
    <t xml:space="preserve">3rd Qtr.,1980 </t>
  </si>
  <si>
    <t>4th Qtr 1981</t>
  </si>
  <si>
    <t>4th Qtr 1980</t>
  </si>
  <si>
    <t>1st Qtr 1981</t>
  </si>
  <si>
    <t>2nd Qtr 1981</t>
  </si>
  <si>
    <t>3rd Qtr 1981</t>
  </si>
  <si>
    <t>1st Qtr 1982</t>
  </si>
  <si>
    <t>2nd Qtr 1982</t>
  </si>
  <si>
    <t>3rd Qtr 1982</t>
  </si>
  <si>
    <t>4th Qtr 1982</t>
  </si>
  <si>
    <t>1st Qtr 1983</t>
  </si>
  <si>
    <t>2nd Qtr 1983</t>
  </si>
  <si>
    <t>3rd Qtr 1983</t>
  </si>
  <si>
    <t>4th Qtr 1983</t>
  </si>
  <si>
    <t>1st Qtr 1984</t>
  </si>
  <si>
    <t>2nd Qtr 1984</t>
  </si>
  <si>
    <t>3rd Qtr 1984</t>
  </si>
  <si>
    <t>4th Qtr 1984</t>
  </si>
  <si>
    <t>1st Qtr 1985</t>
  </si>
  <si>
    <t>2nd Qtr 1985</t>
  </si>
  <si>
    <t>3rd Qtr 1985</t>
  </si>
  <si>
    <t>4th Qtr 1985</t>
  </si>
  <si>
    <t>1st Qtr 1986</t>
  </si>
  <si>
    <t>2nd Qtr 1986</t>
  </si>
  <si>
    <t>3rd Qtr 1986</t>
  </si>
  <si>
    <t>4th Qtr 1986</t>
  </si>
  <si>
    <t>*</t>
  </si>
  <si>
    <t>1st Qtr 1987</t>
  </si>
  <si>
    <t>2nd Qtr 1987</t>
  </si>
  <si>
    <t>3rd Qtr 1987</t>
  </si>
  <si>
    <t>4th Qtr 1987</t>
  </si>
  <si>
    <t>1st Qtr 1988</t>
  </si>
  <si>
    <t>2nd Qtr 1988</t>
  </si>
  <si>
    <t>3rd Qtr 1988</t>
  </si>
  <si>
    <t>4th Qtr 1988</t>
  </si>
  <si>
    <t>1st Qtr 1989</t>
  </si>
  <si>
    <t>2nd Qtr 1989</t>
  </si>
  <si>
    <t>3rd Qtr 1989</t>
  </si>
  <si>
    <t>4th Qtr 1989</t>
  </si>
  <si>
    <t>1st Qtr 1990</t>
  </si>
  <si>
    <t>2nd Qtr 1990</t>
  </si>
  <si>
    <t>3rd Qtr 1990</t>
  </si>
  <si>
    <t>4th Qtr 1990</t>
  </si>
  <si>
    <t>1st Qtr 1991</t>
  </si>
  <si>
    <t>2nd Qtr 1991</t>
  </si>
  <si>
    <t>3rd Qtr 1991</t>
  </si>
  <si>
    <t>4th Qtr 1991</t>
  </si>
  <si>
    <t>1st Qtr 1992</t>
  </si>
  <si>
    <t>2nd Qtr 1992</t>
  </si>
  <si>
    <t>3rd Qtr 1992</t>
  </si>
  <si>
    <t>4th Qtr 1992</t>
  </si>
  <si>
    <t>1st Qtr 1993</t>
  </si>
  <si>
    <t>2nd Qtr 1993</t>
  </si>
  <si>
    <t>3rd Qtr 1993</t>
  </si>
  <si>
    <t>4th Qtr 1993</t>
  </si>
  <si>
    <t>1st Qtr 1994</t>
  </si>
  <si>
    <t>2nd Qtr 1994</t>
  </si>
  <si>
    <t>3rd Qtr 1994</t>
  </si>
  <si>
    <t>4th Qtr 1994</t>
  </si>
  <si>
    <t>1st Qtr 1995</t>
  </si>
  <si>
    <t>2nd Qtr 1995</t>
  </si>
  <si>
    <t>3rd Qtr 1995</t>
  </si>
  <si>
    <t>4th Qtr 1995</t>
  </si>
  <si>
    <t>1st Qtr 1996</t>
  </si>
  <si>
    <t>2nd Qtr 1996</t>
  </si>
  <si>
    <t>3rd Qtr 1996</t>
  </si>
  <si>
    <t>4th Qtr 1996</t>
  </si>
  <si>
    <t>1st Qtr 1997</t>
  </si>
  <si>
    <t>2nd Qtr 1997</t>
  </si>
  <si>
    <t>3rd Qtr 1997</t>
  </si>
  <si>
    <t>4th Qtr 1997</t>
  </si>
  <si>
    <t>1st Qtr 1998</t>
  </si>
  <si>
    <t>2nd Qtr 1998</t>
  </si>
  <si>
    <t>3rd Qtr 1998</t>
  </si>
  <si>
    <t>4th Qtr 1998</t>
  </si>
  <si>
    <t>1st Qtr 1999</t>
  </si>
  <si>
    <t>2nd Qtr 1999</t>
  </si>
  <si>
    <t>3rd Qtr 1999</t>
  </si>
  <si>
    <t>4th Qtr 1999</t>
  </si>
  <si>
    <t>1st Qtr 2000</t>
  </si>
  <si>
    <t>KENTUCKY MOTOR FUELS TAX RATES</t>
  </si>
  <si>
    <t>SURVEY MONTH</t>
  </si>
  <si>
    <t>GASOLINE AND LIQUEFIED PETROLEUM GAS TAX RATE</t>
  </si>
  <si>
    <t>SPECIAL FUELS TAX RATE</t>
  </si>
  <si>
    <t>2nd Qtr 2000</t>
  </si>
  <si>
    <t>3rd Qtr 2000</t>
  </si>
  <si>
    <t>4th Qtr 2000</t>
  </si>
  <si>
    <t>1st Qtr 2001</t>
  </si>
  <si>
    <t>GASOLINE GALLON DATA</t>
  </si>
  <si>
    <t>MONTH/YEAR</t>
  </si>
  <si>
    <t>Column Headings</t>
  </si>
  <si>
    <t>Definition</t>
  </si>
  <si>
    <t>Month/Year</t>
  </si>
  <si>
    <t>The month and year in which data is compiled and in the case of refunds, the month and year in which the data is processed.</t>
  </si>
  <si>
    <t xml:space="preserve">Taxable Gallons </t>
  </si>
  <si>
    <t>Alcohol Gallons</t>
  </si>
  <si>
    <t>The following information is provided under Kentucky Revised Statute 131.190 (4) to assist in compiling data for The Federal Highway Administration Form 551-M</t>
  </si>
  <si>
    <t>Accountable Losses</t>
  </si>
  <si>
    <t>U. S. Government Exempt Gallons</t>
  </si>
  <si>
    <t xml:space="preserve"> Gasoline Refund Gallons - Agriculture</t>
  </si>
  <si>
    <t>Gasoline Refund Gallons - Agriculture</t>
  </si>
  <si>
    <t xml:space="preserve"> Gasoline Refund Gallons - Aviation</t>
  </si>
  <si>
    <t xml:space="preserve"> Gasoline Refund Gallons - Watercraft</t>
  </si>
  <si>
    <t>NOTES</t>
  </si>
  <si>
    <t xml:space="preserve">The gallons of gasoline refunded for agricultural purposes is taken from the month and year in which the refund applications were processed by the Motor Fuels Tax Section.  Refund applications received are for numerous periods up to 5 years under KRS 138.300.  The Motor Fuels Tax Section does not correlate this data to correspond to the dealer's report data.  The gallons are fully refundable under KRS 138.344.  These gallons are reported on Line 4a for form FHWA-551M under the gasoline column only.  </t>
  </si>
  <si>
    <t xml:space="preserve">The gallons of gasoline refunded for watercraft purposes is taken from the month and year in which the refund applications were processed by the Motor Fuels Tax Section.  Refund applications received are for numerous periods up to 5 years under KRS 138.300.  The Motor Fuels Tax Section does not correlate this data to correspond to the dealer's report data.  The gallons are fully refundable under KRS 138.445.  These gallons are reported on Line 4e for form FHWA-551M under the gasoline column only.  </t>
  </si>
  <si>
    <t>2.  Previous FHWA-551M reports completed by KYTC have provided a gallons number on Line 2d of the FHWA-551M form for a Loss/Collection Allowance.  According to "Instructions for Form FHWA-551M", allowances given to the taxpayer "in consideration of prompt payment or of expense incurred by the distributor in keeping records and collecting the tax" are not to be entered as loss allowances.  This is the exact type of compensation allowed by KRS 138.270 and therefore, should not be included on future FHWA-551M reports filed.</t>
  </si>
  <si>
    <t xml:space="preserve">The gallons of gasoline refunded for aviationl purposes is taken from the month and year in which the refund applications were processed by the Motor Fuels Tax Section.  Refund applications received are for numerous periods up to 5 years under KRS 138.300.  The Motor Fuels Tax Section does not correlate this data to correspond to the dealer's report data.  The gallons are partially refundable under KRS 138.341-.342.  These refunds have historically been treated as a fully refundable item by KYTC in preparing the FHWA-551M report.  The Revenue Cabinet has revised its aviation refund application to delete the sales and use tax computation (which defined it as a partial refund) and on July 1, 1999, this refund will be considered as a full refund.  In the March 31, 1999 meeting between FHWA, KYTC and KRC, FHWA officials determined that no change should be made from fully refunded status to partially refunded status for the periods of 1997 and 1998.  These gallons are reported on Line 4b for form FHWA-551M under the gasoline column only.  </t>
  </si>
  <si>
    <t>KYTC date</t>
  </si>
  <si>
    <t>2nd Qtr 2001</t>
  </si>
  <si>
    <t>3rd Qtr 2001</t>
  </si>
  <si>
    <t>4th Qtr 2001</t>
  </si>
  <si>
    <t>1st Qtr 2002</t>
  </si>
  <si>
    <t xml:space="preserve"> </t>
  </si>
  <si>
    <t>Totals</t>
  </si>
  <si>
    <t>2nd Qtr 2002</t>
  </si>
  <si>
    <t>3rd Qtr 2002</t>
  </si>
  <si>
    <t>4th Qtr 2002</t>
  </si>
  <si>
    <t>1st Qtr 2003</t>
  </si>
  <si>
    <t>KCTA data</t>
  </si>
  <si>
    <t>2nd Qtr 2003</t>
  </si>
  <si>
    <t>3rd Qtr 2003</t>
  </si>
  <si>
    <t>4th Qtr 2003</t>
  </si>
  <si>
    <t>1st Qtr 2004</t>
  </si>
  <si>
    <t>2nd Qtr 2004</t>
  </si>
  <si>
    <t>3rd Qtr 2004</t>
  </si>
  <si>
    <t>4th Qtr 2004</t>
  </si>
  <si>
    <t xml:space="preserve"> Gasoline Credit Gallons - Agriculture</t>
  </si>
  <si>
    <t>1st Qtr 2005</t>
  </si>
  <si>
    <t>2nd Qtr 2005</t>
  </si>
  <si>
    <t>3rd Qtr 2005</t>
  </si>
  <si>
    <t>4th Qtr 2005</t>
  </si>
  <si>
    <t>1st Qtr 2006</t>
  </si>
  <si>
    <t>2nd Qtr 2006</t>
  </si>
  <si>
    <t>STATUTORY AVERAGE WHOLESALE PRICE OF GASOLINE</t>
  </si>
  <si>
    <t>6,911,801 **</t>
  </si>
  <si>
    <t>amended due to taxpayer error from 06/05 thru 12/05</t>
  </si>
  <si>
    <t>TOTAL</t>
  </si>
  <si>
    <t>3rd Qtr 2006</t>
  </si>
  <si>
    <t>4th Qtr 2006</t>
  </si>
  <si>
    <t>1st Qtr 2007</t>
  </si>
  <si>
    <t>2nd Qtr 2007</t>
  </si>
  <si>
    <t>3rd Qtr 2007</t>
  </si>
  <si>
    <t>Oct-Dec 2007</t>
  </si>
  <si>
    <t>Apr-Jun 2008</t>
  </si>
  <si>
    <t>Jul-Sep 2008</t>
  </si>
  <si>
    <t>EFFECTIVE PERIOD FOR RATE</t>
  </si>
  <si>
    <t>Jan-Mar 2008</t>
  </si>
  <si>
    <t>Taxable Gallons</t>
  </si>
  <si>
    <t>Oct-Dec 2008</t>
  </si>
  <si>
    <t>3rd Qtr 2009</t>
  </si>
  <si>
    <t>1st Qtr 2009</t>
  </si>
  <si>
    <t>2nd Qtr 2009</t>
  </si>
  <si>
    <t>4th Qtr 2009</t>
  </si>
  <si>
    <t>1st Qtr 2010</t>
  </si>
  <si>
    <t>4th Qtr 2010</t>
  </si>
  <si>
    <t>1st Qtr 2011</t>
  </si>
  <si>
    <t>2nd Qtr 2011</t>
  </si>
  <si>
    <t>3rd Qtr 2011</t>
  </si>
  <si>
    <t>4th Qtr 2011</t>
  </si>
  <si>
    <t>2nd Qtr 2010</t>
  </si>
  <si>
    <t>3rd Qtr 2010</t>
  </si>
  <si>
    <t>1st Qtr 2012</t>
  </si>
  <si>
    <t>2nd Qtr 2012</t>
  </si>
  <si>
    <t>3rd Qtr 2012</t>
  </si>
  <si>
    <t>4th Qtr 2012</t>
  </si>
  <si>
    <t>2nd Qtr 2013</t>
  </si>
  <si>
    <t>3rd Qtr 2013</t>
  </si>
  <si>
    <t>4th Qtr 2013</t>
  </si>
  <si>
    <t>Credit Gallons (Agriculture)</t>
  </si>
  <si>
    <t>Credit Gallons (Residential)</t>
  </si>
  <si>
    <t>Credit Gallons (State &amp; Local)</t>
  </si>
  <si>
    <t>Credit Gallons (Non-Profit)</t>
  </si>
  <si>
    <t>US Government Exempt Gallons</t>
  </si>
  <si>
    <t>46 ,679</t>
  </si>
  <si>
    <t>1st Qtr 2014</t>
  </si>
  <si>
    <t>2nd Qtr 2014</t>
  </si>
  <si>
    <t>3rd Qtr 2014</t>
  </si>
  <si>
    <t>4th Qtr 2014</t>
  </si>
  <si>
    <t>1st Qtr 2015</t>
  </si>
  <si>
    <t>2nd Qtr 2015</t>
  </si>
  <si>
    <t>3rd Qtr 2015</t>
  </si>
  <si>
    <t>4th Qtr 2015</t>
  </si>
  <si>
    <t>1st Qtr 2016</t>
  </si>
  <si>
    <t>2nd Qtr 2016</t>
  </si>
  <si>
    <t>3rd Qtr 2016</t>
  </si>
  <si>
    <t>4th Qtr 2016</t>
  </si>
  <si>
    <t>ANNUAL SURVEY VALUE</t>
  </si>
  <si>
    <t>QUARTERLY SURVEY VALUE</t>
  </si>
  <si>
    <t>HB 299 set new AWP Floor @ $2.177</t>
  </si>
  <si>
    <t>HB 299 set tax rate @ Floor Value for FY 2016</t>
  </si>
  <si>
    <t>1st Qtr 2017</t>
  </si>
  <si>
    <t>2nd Qtr 2017</t>
  </si>
  <si>
    <t>3rd Qtr 2017</t>
  </si>
  <si>
    <t>4th Qtr 2017</t>
  </si>
  <si>
    <t>1st Qtr 2018</t>
  </si>
  <si>
    <t>Refund Gallons - Non-Highway Use</t>
  </si>
  <si>
    <t>Refund Gallons - Watercraft</t>
  </si>
  <si>
    <t>Credit Gallons   (Non-Highway Use)</t>
  </si>
  <si>
    <t>2nd Qtr 2018</t>
  </si>
  <si>
    <t>3rd Qtr 2018</t>
  </si>
  <si>
    <t>4th Qtr 2018</t>
  </si>
  <si>
    <t>1st Qtr 2019</t>
  </si>
  <si>
    <t>2nd Qtr 2019</t>
  </si>
  <si>
    <t>3rd Qtr 2019</t>
  </si>
  <si>
    <t>4th Qtr 2019</t>
  </si>
  <si>
    <t>1st Qtr 2020</t>
  </si>
  <si>
    <t>2nd Qtr 2020</t>
  </si>
  <si>
    <t>3rd Qtr 2020</t>
  </si>
  <si>
    <t>4th Qtr 2020</t>
  </si>
  <si>
    <t>1st Qtr 2021</t>
  </si>
  <si>
    <t>2nd Qtr 2021</t>
  </si>
  <si>
    <t>3rd Qtr 2021</t>
  </si>
  <si>
    <t>4th Qtr 2021</t>
  </si>
  <si>
    <t>1st Qtr 2022</t>
  </si>
  <si>
    <t>2nd Qtr 2022</t>
  </si>
  <si>
    <t>3rd Qtr 2022</t>
  </si>
  <si>
    <t>4th Qtr 2022</t>
  </si>
  <si>
    <t>1st Qtr 2023</t>
  </si>
  <si>
    <t>2nd Qtr 2023</t>
  </si>
  <si>
    <t>3rd Qtr 2023</t>
  </si>
  <si>
    <t>4th Qtr 2023</t>
  </si>
  <si>
    <t>1st Qtr 2024</t>
  </si>
  <si>
    <t>2nd Qtr 2024</t>
  </si>
  <si>
    <t>3rd Qtr 2024</t>
  </si>
  <si>
    <t>4th Qtr 2024</t>
  </si>
  <si>
    <t>1st Qtr 2025</t>
  </si>
  <si>
    <t>2nd Qtr 2025</t>
  </si>
  <si>
    <t>3rd Qtr 2025</t>
  </si>
  <si>
    <t>4th Qtr 2025</t>
  </si>
  <si>
    <t>1st Qtr 2026</t>
  </si>
  <si>
    <t>Rate Increase .02 March 2023</t>
  </si>
  <si>
    <t>Rate Increase .021 July 2023</t>
  </si>
  <si>
    <t>2nd Qtr 2026</t>
  </si>
  <si>
    <t>3rd Qtr 2026</t>
  </si>
  <si>
    <t>4th Qtr 2026</t>
  </si>
  <si>
    <t>1st Qtr 2027</t>
  </si>
  <si>
    <t>2nd Qtr 2027</t>
  </si>
  <si>
    <t>3rd Qtr 2027</t>
  </si>
  <si>
    <t>4th Qtr 2027</t>
  </si>
  <si>
    <t>1st Qtr 2028</t>
  </si>
  <si>
    <t>Rate Decrease .023 July 2024</t>
  </si>
  <si>
    <t>Rate Decrease .014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</si>
</sst>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
    <numFmt numFmtId="165" formatCode="&quot;$&quot;#,##0.0000"/>
    <numFmt numFmtId="166" formatCode="mmmm\-yy"/>
    <numFmt numFmtId="167" formatCode="_(* #,##0_);_(* \(#,##0\);_(* &quot;-&quot;??_);_(@_)"/>
    <numFmt numFmtId="168" formatCode="#,##0;[Red]#,##0"/>
    <numFmt numFmtId="169" formatCode="[$-409]mmmm\-yy;@"/>
    <numFmt numFmtId="170" formatCode="_(&quot;$&quot;* #,##0.000_);_(&quot;$&quot;* \(#,##0.000\);_(&quot;$&quot;* &quot;-&quot;??_);_(@_)"/>
    <numFmt numFmtId="171" formatCode="_(&quot;$&quot;* #,##0.0000_);_(&quot;$&quot;* \(#,##0.0000\);_(&quot;$&quot;* &quot;-&quot;??_);_(@_)"/>
    <numFmt numFmtId="172" formatCode="&quot;$&quot;#,##0.00"/>
    <numFmt numFmtId="173" formatCode="[$-409]mmm\-yy;@"/>
  </numFmts>
  <fonts count="19" x14ac:knownFonts="1">
    <font>
      <sz val="8"/>
      <name val="Comic Sans MS"/>
    </font>
    <font>
      <sz val="8"/>
      <name val="Comic Sans MS"/>
      <family val="4"/>
    </font>
    <font>
      <sz val="12"/>
      <name val="Comic Sans MS"/>
      <family val="4"/>
    </font>
    <font>
      <b/>
      <sz val="12"/>
      <name val="Comic Sans MS"/>
      <family val="4"/>
    </font>
    <font>
      <b/>
      <sz val="8"/>
      <name val="Comic Sans MS"/>
      <family val="4"/>
    </font>
    <font>
      <sz val="8"/>
      <name val="Comic Sans MS"/>
      <family val="4"/>
    </font>
    <font>
      <sz val="14"/>
      <name val="Comic Sans MS"/>
      <family val="4"/>
    </font>
    <font>
      <b/>
      <sz val="10"/>
      <name val="Comic Sans MS"/>
      <family val="4"/>
    </font>
    <font>
      <u/>
      <sz val="8"/>
      <name val="Comic Sans MS"/>
      <family val="4"/>
    </font>
    <font>
      <sz val="10"/>
      <name val="Comic Sans MS"/>
      <family val="4"/>
    </font>
    <font>
      <i/>
      <sz val="8"/>
      <name val="Comic Sans MS"/>
      <family val="4"/>
    </font>
    <font>
      <sz val="12"/>
      <name val="Times New Roman"/>
      <family val="1"/>
    </font>
    <font>
      <b/>
      <sz val="10"/>
      <name val="Times New Roman"/>
      <family val="1"/>
    </font>
    <font>
      <b/>
      <sz val="11"/>
      <name val="Times New Roman"/>
      <family val="1"/>
    </font>
    <font>
      <sz val="11"/>
      <name val="Times New Roman"/>
      <family val="1"/>
    </font>
    <font>
      <sz val="11"/>
      <color indexed="8"/>
      <name val="Times New Roman"/>
      <family val="1"/>
    </font>
    <font>
      <sz val="14"/>
      <name val="Times New Roman"/>
      <family val="1"/>
    </font>
    <font>
      <sz val="10"/>
      <name val="Times New Roman"/>
      <family val="1"/>
    </font>
    <font>
      <b/>
      <sz val="14"/>
      <name val="Times New Roman"/>
      <family val="1"/>
    </font>
  </fonts>
  <fills count="6">
    <fill>
      <patternFill patternType="none"/>
    </fill>
    <fill>
      <patternFill patternType="gray125"/>
    </fill>
    <fill>
      <patternFill patternType="solid">
        <fgColor indexed="23"/>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78">
    <xf numFmtId="0" fontId="0" fillId="0" borderId="0" xfId="0"/>
    <xf numFmtId="0" fontId="0" fillId="0" borderId="0" xfId="0" applyAlignment="1"/>
    <xf numFmtId="164" fontId="0" fillId="0" borderId="0" xfId="0" applyNumberFormat="1" applyAlignment="1"/>
    <xf numFmtId="20" fontId="0" fillId="0" borderId="0" xfId="0" applyNumberFormat="1" applyAlignment="1"/>
    <xf numFmtId="165" fontId="0" fillId="0" borderId="0" xfId="0" applyNumberFormat="1" applyAlignment="1"/>
    <xf numFmtId="20" fontId="0" fillId="0" borderId="0" xfId="0" applyNumberFormat="1" applyAlignment="1">
      <alignment horizontal="center"/>
    </xf>
    <xf numFmtId="0" fontId="6" fillId="0" borderId="0" xfId="0" applyFont="1"/>
    <xf numFmtId="0" fontId="4" fillId="0" borderId="0" xfId="0" applyFont="1" applyAlignment="1">
      <alignment horizontal="center" vertical="center" wrapText="1"/>
    </xf>
    <xf numFmtId="166" fontId="0" fillId="0" borderId="0" xfId="0" applyNumberFormat="1"/>
    <xf numFmtId="0" fontId="0" fillId="0" borderId="0" xfId="0" applyAlignment="1">
      <alignment vertical="center"/>
    </xf>
    <xf numFmtId="0" fontId="0" fillId="0" borderId="0" xfId="0" applyAlignment="1">
      <alignment vertical="center" wrapText="1"/>
    </xf>
    <xf numFmtId="0" fontId="7" fillId="0" borderId="0" xfId="0" applyFont="1" applyAlignment="1">
      <alignment horizontal="center"/>
    </xf>
    <xf numFmtId="0" fontId="0" fillId="0" borderId="1" xfId="0" applyBorder="1" applyAlignment="1">
      <alignment vertical="center"/>
    </xf>
    <xf numFmtId="0" fontId="0" fillId="0" borderId="1" xfId="0" applyBorder="1" applyAlignment="1">
      <alignment vertical="center" wrapText="1"/>
    </xf>
    <xf numFmtId="0" fontId="5" fillId="0" borderId="1" xfId="0" applyFont="1" applyBorder="1" applyAlignment="1">
      <alignment horizontal="left" vertical="center" wrapText="1"/>
    </xf>
    <xf numFmtId="0" fontId="0" fillId="0" borderId="2" xfId="0" applyBorder="1" applyAlignment="1">
      <alignment vertical="center" wrapText="1"/>
    </xf>
    <xf numFmtId="0" fontId="5" fillId="0" borderId="1" xfId="0" applyFont="1" applyBorder="1" applyAlignment="1">
      <alignment horizontal="left" vertical="top" wrapText="1"/>
    </xf>
    <xf numFmtId="0" fontId="9" fillId="0" borderId="0" xfId="0" applyFont="1"/>
    <xf numFmtId="0" fontId="6" fillId="0" borderId="0" xfId="0" applyFont="1" applyAlignment="1">
      <alignment horizontal="center" vertical="center"/>
    </xf>
    <xf numFmtId="0" fontId="0" fillId="0" borderId="2" xfId="0" applyBorder="1" applyAlignme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2" fillId="0" borderId="0" xfId="0" applyFont="1"/>
    <xf numFmtId="0" fontId="0" fillId="0" borderId="0" xfId="0" applyAlignment="1">
      <alignment horizontal="center" vertical="center"/>
    </xf>
    <xf numFmtId="0" fontId="0" fillId="0" borderId="13" xfId="0" applyBorder="1"/>
    <xf numFmtId="0" fontId="10" fillId="0" borderId="0" xfId="0" applyFont="1"/>
    <xf numFmtId="166"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66" fontId="14" fillId="0" borderId="1" xfId="0" applyNumberFormat="1" applyFont="1" applyBorder="1"/>
    <xf numFmtId="3" fontId="14" fillId="0" borderId="1" xfId="0" applyNumberFormat="1" applyFont="1" applyBorder="1"/>
    <xf numFmtId="38" fontId="15" fillId="0" borderId="1" xfId="0" applyNumberFormat="1" applyFont="1" applyBorder="1" applyAlignment="1"/>
    <xf numFmtId="38" fontId="14" fillId="0" borderId="1" xfId="0" applyNumberFormat="1" applyFont="1" applyBorder="1" applyAlignment="1"/>
    <xf numFmtId="0" fontId="14" fillId="0" borderId="7" xfId="0" applyFont="1" applyBorder="1" applyAlignment="1">
      <alignment horizontal="center"/>
    </xf>
    <xf numFmtId="38" fontId="14" fillId="0" borderId="1" xfId="0" applyNumberFormat="1" applyFont="1" applyBorder="1"/>
    <xf numFmtId="166" fontId="14" fillId="0" borderId="0" xfId="0" applyNumberFormat="1" applyFont="1"/>
    <xf numFmtId="0" fontId="14" fillId="0" borderId="0" xfId="0" applyFont="1"/>
    <xf numFmtId="166" fontId="13" fillId="0" borderId="3" xfId="0" applyNumberFormat="1" applyFont="1" applyBorder="1" applyAlignment="1">
      <alignment horizontal="center"/>
    </xf>
    <xf numFmtId="3" fontId="14" fillId="0" borderId="3" xfId="0" applyNumberFormat="1" applyFont="1" applyBorder="1"/>
    <xf numFmtId="3" fontId="14" fillId="2" borderId="3" xfId="0" applyNumberFormat="1" applyFont="1" applyFill="1" applyBorder="1"/>
    <xf numFmtId="3" fontId="14" fillId="0" borderId="2" xfId="0" applyNumberFormat="1" applyFont="1" applyBorder="1"/>
    <xf numFmtId="0" fontId="14" fillId="0" borderId="1" xfId="0" applyFont="1" applyBorder="1" applyAlignment="1">
      <alignment horizontal="center"/>
    </xf>
    <xf numFmtId="0" fontId="14" fillId="2" borderId="3" xfId="0" applyFont="1" applyFill="1" applyBorder="1"/>
    <xf numFmtId="3" fontId="14" fillId="0" borderId="1" xfId="0" applyNumberFormat="1" applyFont="1" applyBorder="1" applyAlignment="1">
      <alignment horizontal="center"/>
    </xf>
    <xf numFmtId="0" fontId="14" fillId="0" borderId="9" xfId="0" applyFont="1" applyBorder="1"/>
    <xf numFmtId="3" fontId="14" fillId="0" borderId="9" xfId="0" applyNumberFormat="1" applyFont="1" applyBorder="1"/>
    <xf numFmtId="0" fontId="13" fillId="0" borderId="10" xfId="0" applyFont="1" applyBorder="1" applyAlignment="1">
      <alignment horizontal="center"/>
    </xf>
    <xf numFmtId="3" fontId="14" fillId="0" borderId="12" xfId="0" applyNumberFormat="1" applyFont="1" applyBorder="1"/>
    <xf numFmtId="3" fontId="14" fillId="0" borderId="11" xfId="0" applyNumberFormat="1" applyFont="1" applyBorder="1"/>
    <xf numFmtId="3" fontId="14" fillId="0" borderId="1" xfId="0" applyNumberFormat="1" applyFont="1" applyBorder="1" applyAlignment="1">
      <alignment horizontal="right"/>
    </xf>
    <xf numFmtId="0" fontId="14" fillId="0" borderId="1" xfId="0" applyFont="1" applyBorder="1"/>
    <xf numFmtId="0" fontId="13" fillId="0" borderId="15" xfId="0" applyFont="1" applyBorder="1"/>
    <xf numFmtId="0" fontId="14" fillId="0" borderId="13" xfId="0" applyFont="1" applyBorder="1"/>
    <xf numFmtId="0" fontId="14" fillId="0" borderId="14" xfId="0" applyFont="1" applyBorder="1"/>
    <xf numFmtId="0" fontId="13" fillId="0" borderId="10" xfId="0" applyFont="1" applyBorder="1" applyAlignment="1">
      <alignment horizontal="right"/>
    </xf>
    <xf numFmtId="0" fontId="14" fillId="0" borderId="12" xfId="0" applyFont="1" applyBorder="1"/>
    <xf numFmtId="0" fontId="14" fillId="0" borderId="11" xfId="0" applyFont="1" applyBorder="1"/>
    <xf numFmtId="169" fontId="14" fillId="0" borderId="1" xfId="0" applyNumberFormat="1" applyFont="1" applyBorder="1"/>
    <xf numFmtId="3" fontId="13" fillId="0" borderId="1" xfId="0" applyNumberFormat="1" applyFont="1" applyBorder="1"/>
    <xf numFmtId="3" fontId="13" fillId="0" borderId="9" xfId="0" applyNumberFormat="1" applyFont="1" applyBorder="1"/>
    <xf numFmtId="0" fontId="13" fillId="0" borderId="14" xfId="0" applyFont="1" applyBorder="1" applyAlignment="1">
      <alignment horizontal="center"/>
    </xf>
    <xf numFmtId="3" fontId="13" fillId="0" borderId="16" xfId="0" applyNumberFormat="1" applyFont="1" applyBorder="1"/>
    <xf numFmtId="0" fontId="14" fillId="0" borderId="15" xfId="0" applyFont="1" applyBorder="1" applyAlignment="1">
      <alignment horizontal="center"/>
    </xf>
    <xf numFmtId="3" fontId="14" fillId="0" borderId="13" xfId="0" applyNumberFormat="1" applyFont="1" applyBorder="1"/>
    <xf numFmtId="3" fontId="14" fillId="0" borderId="14" xfId="0" applyNumberFormat="1" applyFont="1" applyBorder="1"/>
    <xf numFmtId="3" fontId="14" fillId="0" borderId="16" xfId="0" applyNumberFormat="1" applyFont="1" applyBorder="1"/>
    <xf numFmtId="0" fontId="14" fillId="0" borderId="18" xfId="0" applyFont="1" applyBorder="1"/>
    <xf numFmtId="0" fontId="14" fillId="0" borderId="0" xfId="0" applyFont="1" applyBorder="1"/>
    <xf numFmtId="169" fontId="14" fillId="0" borderId="9" xfId="0" applyNumberFormat="1" applyFont="1" applyBorder="1"/>
    <xf numFmtId="3" fontId="13" fillId="0" borderId="12" xfId="0" applyNumberFormat="1" applyFont="1" applyBorder="1"/>
    <xf numFmtId="3" fontId="13" fillId="0" borderId="11" xfId="0" applyNumberFormat="1" applyFont="1" applyBorder="1"/>
    <xf numFmtId="3" fontId="14" fillId="0" borderId="6" xfId="0" applyNumberFormat="1" applyFont="1" applyBorder="1"/>
    <xf numFmtId="38" fontId="14" fillId="0" borderId="6" xfId="0" applyNumberFormat="1" applyFont="1" applyBorder="1" applyAlignment="1"/>
    <xf numFmtId="38" fontId="14" fillId="0" borderId="6" xfId="0" applyNumberFormat="1" applyFont="1" applyBorder="1"/>
    <xf numFmtId="38" fontId="14" fillId="0" borderId="0" xfId="0" applyNumberFormat="1" applyFont="1"/>
    <xf numFmtId="38" fontId="14" fillId="0" borderId="3" xfId="0" applyNumberFormat="1" applyFont="1" applyBorder="1"/>
    <xf numFmtId="166" fontId="13" fillId="0" borderId="8" xfId="0" applyNumberFormat="1" applyFont="1" applyBorder="1" applyAlignment="1">
      <alignment horizontal="center"/>
    </xf>
    <xf numFmtId="38" fontId="14" fillId="0" borderId="8" xfId="0" applyNumberFormat="1" applyFont="1" applyBorder="1"/>
    <xf numFmtId="166" fontId="14" fillId="0" borderId="9" xfId="0" applyNumberFormat="1" applyFont="1" applyBorder="1"/>
    <xf numFmtId="166" fontId="13" fillId="0" borderId="10" xfId="0" applyNumberFormat="1" applyFont="1" applyBorder="1" applyAlignment="1">
      <alignment horizontal="center"/>
    </xf>
    <xf numFmtId="166" fontId="13" fillId="0" borderId="10" xfId="0" applyNumberFormat="1" applyFont="1" applyBorder="1"/>
    <xf numFmtId="0" fontId="13" fillId="0" borderId="1" xfId="0" applyFont="1" applyBorder="1"/>
    <xf numFmtId="168" fontId="13" fillId="0" borderId="1" xfId="0" applyNumberFormat="1" applyFont="1" applyBorder="1"/>
    <xf numFmtId="167" fontId="13" fillId="0" borderId="1" xfId="1" applyNumberFormat="1" applyFont="1" applyBorder="1"/>
    <xf numFmtId="168" fontId="13" fillId="0" borderId="1" xfId="1" applyNumberFormat="1" applyFont="1" applyBorder="1"/>
    <xf numFmtId="167" fontId="13" fillId="0" borderId="1" xfId="0" applyNumberFormat="1" applyFont="1" applyBorder="1"/>
    <xf numFmtId="166" fontId="13" fillId="0" borderId="9" xfId="0" applyNumberFormat="1" applyFont="1" applyBorder="1"/>
    <xf numFmtId="0" fontId="13" fillId="0" borderId="9" xfId="0" applyFont="1" applyBorder="1"/>
    <xf numFmtId="168" fontId="13" fillId="0" borderId="9" xfId="0" applyNumberFormat="1" applyFont="1" applyBorder="1"/>
    <xf numFmtId="167" fontId="13" fillId="0" borderId="12" xfId="1" applyNumberFormat="1" applyFont="1" applyBorder="1"/>
    <xf numFmtId="0" fontId="13" fillId="0" borderId="12" xfId="0" applyFont="1" applyBorder="1"/>
    <xf numFmtId="168" fontId="13" fillId="0" borderId="12" xfId="1" applyNumberFormat="1" applyFont="1" applyBorder="1"/>
    <xf numFmtId="167" fontId="13" fillId="0" borderId="11" xfId="1" applyNumberFormat="1" applyFont="1" applyBorder="1"/>
    <xf numFmtId="3" fontId="13" fillId="0" borderId="1" xfId="0" quotePrefix="1" applyNumberFormat="1" applyFont="1" applyBorder="1" applyAlignment="1">
      <alignment horizontal="right"/>
    </xf>
    <xf numFmtId="1" fontId="13" fillId="0" borderId="1" xfId="1" applyNumberFormat="1" applyFont="1" applyBorder="1"/>
    <xf numFmtId="16" fontId="13" fillId="0" borderId="9" xfId="0" applyNumberFormat="1" applyFont="1" applyBorder="1"/>
    <xf numFmtId="166" fontId="13" fillId="0" borderId="1" xfId="0" applyNumberFormat="1" applyFont="1" applyBorder="1" applyAlignment="1">
      <alignment horizontal="center"/>
    </xf>
    <xf numFmtId="166" fontId="13" fillId="0" borderId="1" xfId="0" applyNumberFormat="1" applyFont="1" applyBorder="1"/>
    <xf numFmtId="0" fontId="13" fillId="0" borderId="1" xfId="0" applyFont="1" applyBorder="1" applyAlignment="1">
      <alignment horizontal="center" wrapText="1"/>
    </xf>
    <xf numFmtId="169" fontId="13" fillId="0" borderId="10" xfId="0" applyNumberFormat="1" applyFont="1" applyBorder="1" applyAlignment="1">
      <alignment horizontal="center"/>
    </xf>
    <xf numFmtId="166" fontId="14" fillId="0" borderId="0" xfId="0" applyNumberFormat="1" applyFont="1" applyBorder="1"/>
    <xf numFmtId="3" fontId="14" fillId="0" borderId="0" xfId="0" applyNumberFormat="1" applyFont="1" applyBorder="1"/>
    <xf numFmtId="3" fontId="13" fillId="0" borderId="14" xfId="0" applyNumberFormat="1" applyFont="1" applyBorder="1"/>
    <xf numFmtId="0" fontId="13" fillId="0" borderId="15" xfId="0" applyFont="1" applyBorder="1" applyAlignment="1">
      <alignment horizontal="center"/>
    </xf>
    <xf numFmtId="0" fontId="13" fillId="0" borderId="14" xfId="0" applyFont="1" applyBorder="1"/>
    <xf numFmtId="0" fontId="13" fillId="0" borderId="16" xfId="0" applyFont="1" applyBorder="1" applyAlignment="1">
      <alignment horizontal="center"/>
    </xf>
    <xf numFmtId="0" fontId="14" fillId="0" borderId="0" xfId="0" applyFont="1" applyAlignment="1">
      <alignment horizontal="center"/>
    </xf>
    <xf numFmtId="0" fontId="12" fillId="0" borderId="2" xfId="0" applyFont="1" applyBorder="1" applyAlignment="1">
      <alignment horizontal="center" vertical="center" wrapText="1"/>
    </xf>
    <xf numFmtId="20" fontId="12" fillId="0" borderId="2" xfId="0" applyNumberFormat="1" applyFont="1" applyBorder="1" applyAlignment="1">
      <alignment horizontal="center" vertical="center" wrapText="1"/>
    </xf>
    <xf numFmtId="165" fontId="12" fillId="0" borderId="2" xfId="0" quotePrefix="1"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20" fontId="14" fillId="0" borderId="1" xfId="0" applyNumberFormat="1" applyFont="1" applyBorder="1" applyAlignment="1">
      <alignment horizontal="center"/>
    </xf>
    <xf numFmtId="20" fontId="14" fillId="0" borderId="1" xfId="0" applyNumberFormat="1" applyFont="1" applyBorder="1" applyAlignment="1"/>
    <xf numFmtId="164" fontId="14" fillId="0" borderId="1" xfId="0" applyNumberFormat="1" applyFont="1" applyBorder="1" applyAlignment="1"/>
    <xf numFmtId="20" fontId="14" fillId="0" borderId="9" xfId="0" applyNumberFormat="1" applyFont="1" applyBorder="1" applyAlignment="1">
      <alignment horizontal="center"/>
    </xf>
    <xf numFmtId="20" fontId="14" fillId="0" borderId="9" xfId="0" applyNumberFormat="1" applyFont="1" applyBorder="1" applyAlignment="1"/>
    <xf numFmtId="164" fontId="14" fillId="0" borderId="9" xfId="0" applyNumberFormat="1" applyFont="1" applyBorder="1" applyAlignment="1"/>
    <xf numFmtId="20" fontId="14" fillId="0" borderId="6" xfId="0" applyNumberFormat="1" applyFont="1" applyBorder="1" applyAlignment="1">
      <alignment horizontal="center"/>
    </xf>
    <xf numFmtId="20" fontId="14" fillId="0" borderId="17" xfId="0" applyNumberFormat="1" applyFont="1" applyBorder="1" applyAlignment="1">
      <alignment horizontal="center"/>
    </xf>
    <xf numFmtId="3" fontId="13" fillId="0" borderId="19" xfId="0" applyNumberFormat="1" applyFont="1" applyFill="1" applyBorder="1"/>
    <xf numFmtId="170" fontId="14" fillId="0" borderId="1" xfId="2" applyNumberFormat="1" applyFont="1" applyBorder="1" applyAlignment="1"/>
    <xf numFmtId="170" fontId="14" fillId="0" borderId="9" xfId="2" applyNumberFormat="1" applyFont="1" applyBorder="1" applyAlignment="1"/>
    <xf numFmtId="170" fontId="14" fillId="0" borderId="7" xfId="2" applyNumberFormat="1" applyFont="1" applyBorder="1" applyAlignment="1"/>
    <xf numFmtId="171" fontId="14" fillId="0" borderId="1" xfId="2" applyNumberFormat="1" applyFont="1" applyBorder="1" applyAlignment="1"/>
    <xf numFmtId="171" fontId="14" fillId="0" borderId="9" xfId="2" applyNumberFormat="1" applyFont="1" applyBorder="1" applyAlignment="1"/>
    <xf numFmtId="171" fontId="14" fillId="0" borderId="1" xfId="2" applyNumberFormat="1" applyFont="1" applyBorder="1" applyAlignment="1">
      <alignment horizontal="right"/>
    </xf>
    <xf numFmtId="171" fontId="14" fillId="0" borderId="7" xfId="2" applyNumberFormat="1" applyFont="1" applyBorder="1" applyAlignment="1"/>
    <xf numFmtId="171" fontId="14" fillId="0" borderId="17" xfId="2" applyNumberFormat="1" applyFont="1" applyBorder="1" applyAlignment="1"/>
    <xf numFmtId="44" fontId="0" fillId="0" borderId="0" xfId="0" applyNumberFormat="1"/>
    <xf numFmtId="172" fontId="0" fillId="0" borderId="0" xfId="0" applyNumberFormat="1"/>
    <xf numFmtId="20" fontId="0" fillId="0" borderId="1" xfId="0" applyNumberFormat="1" applyBorder="1" applyAlignment="1"/>
    <xf numFmtId="170" fontId="0" fillId="0" borderId="0" xfId="0" applyNumberFormat="1"/>
    <xf numFmtId="165" fontId="12" fillId="0" borderId="2" xfId="0" applyNumberFormat="1" applyFont="1" applyBorder="1" applyAlignment="1">
      <alignment horizontal="center" vertical="center" wrapText="1"/>
    </xf>
    <xf numFmtId="171" fontId="14" fillId="3" borderId="1" xfId="2" applyNumberFormat="1" applyFont="1" applyFill="1" applyBorder="1" applyAlignment="1"/>
    <xf numFmtId="20" fontId="0" fillId="3" borderId="1" xfId="0" applyNumberFormat="1" applyFill="1" applyBorder="1" applyAlignment="1"/>
    <xf numFmtId="171" fontId="14" fillId="3" borderId="9" xfId="2" applyNumberFormat="1" applyFont="1" applyFill="1" applyBorder="1" applyAlignment="1"/>
    <xf numFmtId="171" fontId="14" fillId="3" borderId="1" xfId="2" applyNumberFormat="1" applyFont="1" applyFill="1" applyBorder="1" applyAlignment="1">
      <alignment horizontal="right"/>
    </xf>
    <xf numFmtId="171" fontId="14" fillId="3" borderId="7" xfId="2" applyNumberFormat="1" applyFont="1" applyFill="1" applyBorder="1" applyAlignment="1"/>
    <xf numFmtId="171" fontId="14" fillId="3" borderId="17" xfId="2" applyNumberFormat="1" applyFont="1" applyFill="1" applyBorder="1" applyAlignment="1"/>
    <xf numFmtId="0" fontId="1" fillId="0" borderId="0" xfId="0" applyFont="1"/>
    <xf numFmtId="14" fontId="14" fillId="0" borderId="1" xfId="0" applyNumberFormat="1" applyFont="1" applyBorder="1" applyAlignment="1"/>
    <xf numFmtId="173" fontId="14" fillId="0" borderId="1" xfId="0" applyNumberFormat="1" applyFont="1" applyBorder="1" applyAlignment="1"/>
    <xf numFmtId="3" fontId="13" fillId="0" borderId="1" xfId="0" applyNumberFormat="1" applyFont="1" applyBorder="1" applyAlignment="1">
      <alignment wrapText="1"/>
    </xf>
    <xf numFmtId="3" fontId="13" fillId="0" borderId="19" xfId="0" applyNumberFormat="1" applyFont="1" applyFill="1" applyBorder="1" applyAlignment="1">
      <alignment wrapText="1"/>
    </xf>
    <xf numFmtId="3" fontId="14" fillId="0" borderId="1" xfId="0" applyNumberFormat="1" applyFont="1" applyBorder="1" applyAlignment="1">
      <alignment wrapText="1"/>
    </xf>
    <xf numFmtId="3" fontId="13" fillId="0" borderId="0" xfId="0" applyNumberFormat="1" applyFont="1" applyFill="1" applyBorder="1"/>
    <xf numFmtId="169" fontId="13" fillId="3" borderId="10" xfId="0" applyNumberFormat="1" applyFont="1" applyFill="1" applyBorder="1" applyAlignment="1">
      <alignment horizontal="center"/>
    </xf>
    <xf numFmtId="3" fontId="13" fillId="3" borderId="12" xfId="0" applyNumberFormat="1" applyFont="1" applyFill="1" applyBorder="1"/>
    <xf numFmtId="3" fontId="13" fillId="3" borderId="11" xfId="0" applyNumberFormat="1" applyFont="1" applyFill="1" applyBorder="1"/>
    <xf numFmtId="0" fontId="0" fillId="4" borderId="0" xfId="0" applyFill="1"/>
    <xf numFmtId="0" fontId="0" fillId="0" borderId="0" xfId="0" applyFill="1"/>
    <xf numFmtId="169" fontId="14" fillId="4" borderId="9" xfId="0" applyNumberFormat="1" applyFont="1" applyFill="1" applyBorder="1"/>
    <xf numFmtId="3" fontId="13" fillId="4" borderId="9" xfId="0" applyNumberFormat="1" applyFont="1" applyFill="1" applyBorder="1"/>
    <xf numFmtId="170" fontId="14" fillId="3" borderId="1" xfId="2" applyNumberFormat="1" applyFont="1" applyFill="1" applyBorder="1" applyAlignment="1"/>
    <xf numFmtId="3" fontId="13" fillId="0" borderId="1" xfId="0" applyNumberFormat="1" applyFont="1" applyFill="1" applyBorder="1"/>
    <xf numFmtId="166" fontId="13" fillId="5" borderId="1" xfId="0" applyNumberFormat="1" applyFont="1" applyFill="1" applyBorder="1" applyAlignment="1">
      <alignment horizontal="center"/>
    </xf>
    <xf numFmtId="3" fontId="13" fillId="5" borderId="1" xfId="0" applyNumberFormat="1" applyFont="1" applyFill="1" applyBorder="1"/>
    <xf numFmtId="0" fontId="0" fillId="5" borderId="0" xfId="0" applyFill="1"/>
    <xf numFmtId="166" fontId="0" fillId="5" borderId="0" xfId="0" applyNumberFormat="1" applyFill="1"/>
    <xf numFmtId="3" fontId="14" fillId="0" borderId="1" xfId="0" applyNumberFormat="1" applyFont="1" applyFill="1" applyBorder="1"/>
    <xf numFmtId="20" fontId="0" fillId="3" borderId="2" xfId="0" applyNumberFormat="1" applyFill="1" applyBorder="1" applyAlignment="1"/>
    <xf numFmtId="14" fontId="0" fillId="0" borderId="1" xfId="0" applyNumberFormat="1" applyBorder="1" applyAlignment="1"/>
    <xf numFmtId="20" fontId="0" fillId="0" borderId="1" xfId="0" applyNumberFormat="1" applyBorder="1" applyAlignment="1">
      <alignment horizont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166" fontId="16" fillId="0" borderId="0" xfId="0" applyNumberFormat="1" applyFont="1" applyAlignment="1">
      <alignment horizontal="center" vertical="center"/>
    </xf>
    <xf numFmtId="166" fontId="17" fillId="0" borderId="20" xfId="0" applyNumberFormat="1" applyFont="1" applyBorder="1" applyAlignment="1">
      <alignment horizontal="center"/>
    </xf>
    <xf numFmtId="166" fontId="17" fillId="0" borderId="21" xfId="0" applyNumberFormat="1" applyFont="1" applyBorder="1" applyAlignment="1">
      <alignment horizontal="center"/>
    </xf>
    <xf numFmtId="166" fontId="17" fillId="0" borderId="22" xfId="0" applyNumberFormat="1" applyFont="1" applyBorder="1" applyAlignment="1">
      <alignment horizontal="center"/>
    </xf>
    <xf numFmtId="166" fontId="11" fillId="0" borderId="0" xfId="0" applyNumberFormat="1" applyFont="1" applyAlignment="1">
      <alignment horizontal="center"/>
    </xf>
    <xf numFmtId="166" fontId="14" fillId="0" borderId="0" xfId="0" applyNumberFormat="1" applyFont="1" applyAlignment="1">
      <alignment horizontal="center"/>
    </xf>
    <xf numFmtId="166" fontId="14" fillId="0" borderId="6" xfId="0" applyNumberFormat="1" applyFont="1" applyBorder="1" applyAlignment="1">
      <alignment horizontal="center" wrapText="1"/>
    </xf>
    <xf numFmtId="166" fontId="14" fillId="0" borderId="17" xfId="0" applyNumberFormat="1" applyFont="1" applyBorder="1" applyAlignment="1">
      <alignment horizontal="center" wrapText="1"/>
    </xf>
    <xf numFmtId="166" fontId="14" fillId="0" borderId="7" xfId="0" applyNumberFormat="1" applyFont="1" applyBorder="1" applyAlignment="1">
      <alignment horizontal="center" wrapText="1"/>
    </xf>
    <xf numFmtId="0" fontId="18" fillId="0" borderId="0" xfId="0" applyFont="1" applyBorder="1" applyAlignment="1">
      <alignment horizontal="center" vertical="center"/>
    </xf>
    <xf numFmtId="0" fontId="18" fillId="0" borderId="15" xfId="0" applyFont="1" applyBorder="1" applyAlignment="1">
      <alignment horizontal="center"/>
    </xf>
    <xf numFmtId="0" fontId="18" fillId="0" borderId="13" xfId="0" applyFont="1" applyBorder="1" applyAlignment="1">
      <alignment horizontal="center"/>
    </xf>
    <xf numFmtId="0" fontId="18" fillId="0" borderId="14"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116205</xdr:colOff>
      <xdr:row>15</xdr:row>
      <xdr:rowOff>97155</xdr:rowOff>
    </xdr:from>
    <xdr:to>
      <xdr:col>9</xdr:col>
      <xdr:colOff>432626</xdr:colOff>
      <xdr:row>22</xdr:row>
      <xdr:rowOff>59055</xdr:rowOff>
    </xdr:to>
    <xdr:sp macro="" textlink="">
      <xdr:nvSpPr>
        <xdr:cNvPr id="1025" name="Text Box 1">
          <a:extLst>
            <a:ext uri="{FF2B5EF4-FFF2-40B4-BE49-F238E27FC236}">
              <a16:creationId xmlns:a16="http://schemas.microsoft.com/office/drawing/2014/main" id="{00000000-0008-0000-0400-000001040000}"/>
            </a:ext>
          </a:extLst>
        </xdr:cNvPr>
        <xdr:cNvSpPr txBox="1">
          <a:spLocks noChangeArrowheads="1"/>
        </xdr:cNvSpPr>
      </xdr:nvSpPr>
      <xdr:spPr bwMode="auto">
        <a:xfrm>
          <a:off x="6096000" y="3590925"/>
          <a:ext cx="971550" cy="1095375"/>
        </a:xfrm>
        <a:prstGeom prst="rect">
          <a:avLst/>
        </a:prstGeom>
        <a:solidFill>
          <a:srgbClr val="FFFFFF"/>
        </a:solidFill>
        <a:ln w="9525">
          <a:solidFill>
            <a:srgbClr val="0000FF"/>
          </a:solidFill>
          <a:miter lim="800000"/>
          <a:headEnd/>
          <a:tailEnd/>
        </a:ln>
      </xdr:spPr>
      <xdr:txBody>
        <a:bodyPr vertOverflow="clip" wrap="square" lIns="27432" tIns="27432" rIns="0" bIns="0" anchor="t" upright="1"/>
        <a:lstStyle/>
        <a:p>
          <a:pPr algn="l" rtl="0">
            <a:defRPr sz="1000"/>
          </a:pPr>
          <a:r>
            <a:rPr lang="en-US" sz="800" b="0" i="0" u="none" strike="noStrike" baseline="0">
              <a:solidFill>
                <a:srgbClr val="FF0000"/>
              </a:solidFill>
              <a:latin typeface="Comic Sans MS"/>
            </a:rPr>
            <a:t>*Price includes additional five cents federal tax which became effective April 1, 1983.</a:t>
          </a:r>
          <a:endParaRPr lang="en-US" sz="800" b="0" i="0" u="none" strike="noStrike" baseline="0">
            <a:solidFill>
              <a:srgbClr val="000000"/>
            </a:solidFill>
            <a:latin typeface="Comic Sans MS"/>
          </a:endParaRPr>
        </a:p>
        <a:p>
          <a:pPr algn="l" rtl="0">
            <a:defRPr sz="1000"/>
          </a:pPr>
          <a:endParaRPr lang="en-US" sz="800" b="0" i="0" u="none" strike="noStrike" baseline="0">
            <a:solidFill>
              <a:srgbClr val="000000"/>
            </a:solidFill>
            <a:latin typeface="Comic Sans MS"/>
          </a:endParaRPr>
        </a:p>
      </xdr:txBody>
    </xdr:sp>
    <xdr:clientData/>
  </xdr:twoCellAnchor>
  <xdr:twoCellAnchor>
    <xdr:from>
      <xdr:col>8</xdr:col>
      <xdr:colOff>45720</xdr:colOff>
      <xdr:row>14</xdr:row>
      <xdr:rowOff>152400</xdr:rowOff>
    </xdr:from>
    <xdr:to>
      <xdr:col>9</xdr:col>
      <xdr:colOff>0</xdr:colOff>
      <xdr:row>14</xdr:row>
      <xdr:rowOff>152400</xdr:rowOff>
    </xdr:to>
    <xdr:sp macro="" textlink="">
      <xdr:nvSpPr>
        <xdr:cNvPr id="1052" name="Line 2">
          <a:extLst>
            <a:ext uri="{FF2B5EF4-FFF2-40B4-BE49-F238E27FC236}">
              <a16:creationId xmlns:a16="http://schemas.microsoft.com/office/drawing/2014/main" id="{00000000-0008-0000-0400-00001C040000}"/>
            </a:ext>
          </a:extLst>
        </xdr:cNvPr>
        <xdr:cNvSpPr>
          <a:spLocks noChangeShapeType="1"/>
        </xdr:cNvSpPr>
      </xdr:nvSpPr>
      <xdr:spPr bwMode="auto">
        <a:xfrm flipH="1">
          <a:off x="5516880" y="3261360"/>
          <a:ext cx="502920" cy="0"/>
        </a:xfrm>
        <a:prstGeom prst="line">
          <a:avLst/>
        </a:prstGeom>
        <a:noFill/>
        <a:ln w="9525">
          <a:solidFill>
            <a:srgbClr val="000000"/>
          </a:solidFill>
          <a:round/>
          <a:headEnd/>
          <a:tailEnd type="triangle" w="med" len="med"/>
        </a:ln>
      </xdr:spPr>
    </xdr:sp>
    <xdr:clientData/>
  </xdr:twoCellAnchor>
  <xdr:twoCellAnchor>
    <xdr:from>
      <xdr:col>8</xdr:col>
      <xdr:colOff>60960</xdr:colOff>
      <xdr:row>23</xdr:row>
      <xdr:rowOff>30480</xdr:rowOff>
    </xdr:from>
    <xdr:to>
      <xdr:col>9</xdr:col>
      <xdr:colOff>7620</xdr:colOff>
      <xdr:row>23</xdr:row>
      <xdr:rowOff>30480</xdr:rowOff>
    </xdr:to>
    <xdr:sp macro="" textlink="">
      <xdr:nvSpPr>
        <xdr:cNvPr id="1053" name="Line 4">
          <a:extLst>
            <a:ext uri="{FF2B5EF4-FFF2-40B4-BE49-F238E27FC236}">
              <a16:creationId xmlns:a16="http://schemas.microsoft.com/office/drawing/2014/main" id="{00000000-0008-0000-0400-00001D040000}"/>
            </a:ext>
          </a:extLst>
        </xdr:cNvPr>
        <xdr:cNvSpPr>
          <a:spLocks noChangeShapeType="1"/>
        </xdr:cNvSpPr>
      </xdr:nvSpPr>
      <xdr:spPr bwMode="auto">
        <a:xfrm flipH="1">
          <a:off x="5532120" y="4518660"/>
          <a:ext cx="495300" cy="0"/>
        </a:xfrm>
        <a:prstGeom prst="line">
          <a:avLst/>
        </a:prstGeom>
        <a:noFill/>
        <a:ln w="9525">
          <a:solidFill>
            <a:srgbClr val="000000"/>
          </a:solidFill>
          <a:round/>
          <a:headEnd/>
          <a:tailEnd type="triangle" w="med" len="med"/>
        </a:ln>
      </xdr:spPr>
    </xdr:sp>
    <xdr:clientData/>
  </xdr:twoCellAnchor>
  <xdr:twoCellAnchor>
    <xdr:from>
      <xdr:col>9</xdr:col>
      <xdr:colOff>0</xdr:colOff>
      <xdr:row>14</xdr:row>
      <xdr:rowOff>152400</xdr:rowOff>
    </xdr:from>
    <xdr:to>
      <xdr:col>9</xdr:col>
      <xdr:colOff>0</xdr:colOff>
      <xdr:row>15</xdr:row>
      <xdr:rowOff>99060</xdr:rowOff>
    </xdr:to>
    <xdr:sp macro="" textlink="">
      <xdr:nvSpPr>
        <xdr:cNvPr id="1054" name="Line 5">
          <a:extLst>
            <a:ext uri="{FF2B5EF4-FFF2-40B4-BE49-F238E27FC236}">
              <a16:creationId xmlns:a16="http://schemas.microsoft.com/office/drawing/2014/main" id="{00000000-0008-0000-0400-00001E040000}"/>
            </a:ext>
          </a:extLst>
        </xdr:cNvPr>
        <xdr:cNvSpPr>
          <a:spLocks noChangeShapeType="1"/>
        </xdr:cNvSpPr>
      </xdr:nvSpPr>
      <xdr:spPr bwMode="auto">
        <a:xfrm>
          <a:off x="6019800" y="3261360"/>
          <a:ext cx="0" cy="106680"/>
        </a:xfrm>
        <a:prstGeom prst="line">
          <a:avLst/>
        </a:prstGeom>
        <a:noFill/>
        <a:ln w="9525">
          <a:solidFill>
            <a:srgbClr val="000000"/>
          </a:solidFill>
          <a:round/>
          <a:headEnd/>
          <a:tailEnd/>
        </a:ln>
      </xdr:spPr>
    </xdr:sp>
    <xdr:clientData/>
  </xdr:twoCellAnchor>
  <xdr:twoCellAnchor>
    <xdr:from>
      <xdr:col>9</xdr:col>
      <xdr:colOff>7620</xdr:colOff>
      <xdr:row>22</xdr:row>
      <xdr:rowOff>30480</xdr:rowOff>
    </xdr:from>
    <xdr:to>
      <xdr:col>9</xdr:col>
      <xdr:colOff>7620</xdr:colOff>
      <xdr:row>23</xdr:row>
      <xdr:rowOff>30480</xdr:rowOff>
    </xdr:to>
    <xdr:sp macro="" textlink="">
      <xdr:nvSpPr>
        <xdr:cNvPr id="1055" name="Line 6">
          <a:extLst>
            <a:ext uri="{FF2B5EF4-FFF2-40B4-BE49-F238E27FC236}">
              <a16:creationId xmlns:a16="http://schemas.microsoft.com/office/drawing/2014/main" id="{00000000-0008-0000-0400-00001F040000}"/>
            </a:ext>
          </a:extLst>
        </xdr:cNvPr>
        <xdr:cNvSpPr>
          <a:spLocks noChangeShapeType="1"/>
        </xdr:cNvSpPr>
      </xdr:nvSpPr>
      <xdr:spPr bwMode="auto">
        <a:xfrm flipV="1">
          <a:off x="6027420" y="4366260"/>
          <a:ext cx="0" cy="1524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8"/>
  <sheetViews>
    <sheetView zoomScale="110" zoomScaleNormal="110" workbookViewId="0">
      <selection activeCell="B5" sqref="B5"/>
    </sheetView>
  </sheetViews>
  <sheetFormatPr defaultRowHeight="12" x14ac:dyDescent="0.3"/>
  <cols>
    <col min="1" max="1" width="39.25" style="9" customWidth="1"/>
    <col min="2" max="2" width="81.75" style="10" customWidth="1"/>
  </cols>
  <sheetData>
    <row r="1" spans="1:256" s="11" customFormat="1" ht="18" thickTop="1" thickBot="1" x14ac:dyDescent="0.5">
      <c r="A1" s="20" t="s">
        <v>108</v>
      </c>
      <c r="B1" s="21" t="s">
        <v>109</v>
      </c>
    </row>
    <row r="2" spans="1:256" ht="35.1" customHeight="1" thickTop="1" x14ac:dyDescent="0.3">
      <c r="A2" s="19" t="s">
        <v>110</v>
      </c>
      <c r="B2" s="15" t="s">
        <v>111</v>
      </c>
    </row>
    <row r="3" spans="1:256" ht="75.75" customHeight="1" x14ac:dyDescent="0.3">
      <c r="A3" s="14" t="s">
        <v>112</v>
      </c>
      <c r="B3" s="13" t="s">
        <v>8</v>
      </c>
    </row>
    <row r="4" spans="1:256" ht="87.75" customHeight="1" x14ac:dyDescent="0.3">
      <c r="A4" s="12" t="s">
        <v>113</v>
      </c>
      <c r="B4" s="13" t="s">
        <v>10</v>
      </c>
    </row>
    <row r="5" spans="1:256" ht="76.5" customHeight="1" x14ac:dyDescent="0.3">
      <c r="A5" s="12" t="s">
        <v>115</v>
      </c>
      <c r="B5" s="13" t="s">
        <v>11</v>
      </c>
    </row>
    <row r="6" spans="1:256" ht="90.75" customHeight="1" x14ac:dyDescent="0.3">
      <c r="A6" s="14" t="s">
        <v>116</v>
      </c>
      <c r="B6" s="13" t="s">
        <v>12</v>
      </c>
    </row>
    <row r="7" spans="1:256" ht="79.5" customHeight="1" x14ac:dyDescent="0.3">
      <c r="A7" s="14" t="s">
        <v>118</v>
      </c>
      <c r="B7" s="13" t="s">
        <v>122</v>
      </c>
    </row>
    <row r="8" spans="1:256" ht="142.5" customHeight="1" x14ac:dyDescent="0.3">
      <c r="A8" s="14" t="s">
        <v>119</v>
      </c>
      <c r="B8" s="13" t="s">
        <v>125</v>
      </c>
    </row>
    <row r="9" spans="1:256" ht="66" customHeight="1" x14ac:dyDescent="0.3">
      <c r="A9" s="14" t="s">
        <v>120</v>
      </c>
      <c r="B9" s="13" t="s">
        <v>123</v>
      </c>
    </row>
    <row r="10" spans="1:256" ht="39.75" customHeight="1" x14ac:dyDescent="0.3">
      <c r="A10" s="14" t="s">
        <v>6</v>
      </c>
      <c r="B10" s="16" t="s">
        <v>9</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ht="66" customHeight="1" x14ac:dyDescent="0.3">
      <c r="A11" s="14" t="s">
        <v>3</v>
      </c>
      <c r="B11" s="16" t="s">
        <v>13</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ht="78.75" customHeight="1" x14ac:dyDescent="0.3">
      <c r="A12" s="14" t="s">
        <v>4</v>
      </c>
      <c r="B12" s="13" t="s">
        <v>14</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ht="78" customHeight="1" x14ac:dyDescent="0.3">
      <c r="A13" s="14" t="s">
        <v>5</v>
      </c>
      <c r="B13" s="13" t="s">
        <v>15</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ht="133.5" customHeight="1" x14ac:dyDescent="0.3">
      <c r="A14" s="162" t="s">
        <v>121</v>
      </c>
      <c r="B14" s="13" t="s">
        <v>0</v>
      </c>
    </row>
    <row r="15" spans="1:256" ht="73.5" customHeight="1" x14ac:dyDescent="0.3">
      <c r="A15" s="163"/>
      <c r="B15" s="13" t="s">
        <v>124</v>
      </c>
    </row>
    <row r="16" spans="1:256" ht="72" customHeight="1" x14ac:dyDescent="0.3">
      <c r="A16" s="164"/>
      <c r="B16" s="13" t="s">
        <v>17</v>
      </c>
    </row>
    <row r="17" ht="24.9" customHeight="1" x14ac:dyDescent="0.3"/>
    <row r="18" ht="24.9" customHeight="1" x14ac:dyDescent="0.3"/>
  </sheetData>
  <sheetProtection password="DFA3" sheet="1" objects="1" scenarios="1"/>
  <mergeCells count="1">
    <mergeCell ref="A14:A16"/>
  </mergeCells>
  <phoneticPr fontId="0" type="noConversion"/>
  <pageMargins left="0.5" right="0.5" top="0.5" bottom="0.5" header="0" footer="0"/>
  <pageSetup orientation="landscape" horizontalDpi="0" r:id="rId1"/>
  <headerFooter alignWithMargins="0">
    <oddHeader>&amp;F</oddHeader>
    <oddFooter>Page &amp;P&amp;R&amp;A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1"/>
  <dimension ref="A1:I495"/>
  <sheetViews>
    <sheetView tabSelected="1" zoomScaleNormal="100" workbookViewId="0">
      <pane ySplit="1" topLeftCell="A439" activePane="bottomLeft" state="frozen"/>
      <selection pane="bottomLeft" activeCell="B457" sqref="B457"/>
    </sheetView>
  </sheetViews>
  <sheetFormatPr defaultRowHeight="12" x14ac:dyDescent="0.3"/>
  <cols>
    <col min="1" max="1" width="16.75" style="8" customWidth="1"/>
    <col min="2" max="10" width="22.75" customWidth="1"/>
  </cols>
  <sheetData>
    <row r="1" spans="1:9" s="18" customFormat="1" ht="36.75" customHeight="1" thickBot="1" x14ac:dyDescent="0.35">
      <c r="A1" s="165" t="s">
        <v>106</v>
      </c>
      <c r="B1" s="165"/>
      <c r="C1" s="165"/>
      <c r="D1" s="165"/>
      <c r="E1" s="165"/>
      <c r="F1" s="165"/>
      <c r="G1" s="165"/>
      <c r="H1" s="165"/>
      <c r="I1" s="165"/>
    </row>
    <row r="2" spans="1:9" s="17" customFormat="1" ht="16.8" thickTop="1" x14ac:dyDescent="0.4">
      <c r="A2" s="166" t="s">
        <v>114</v>
      </c>
      <c r="B2" s="167"/>
      <c r="C2" s="167"/>
      <c r="D2" s="167"/>
      <c r="E2" s="167"/>
      <c r="F2" s="167"/>
      <c r="G2" s="167"/>
      <c r="H2" s="167"/>
      <c r="I2" s="168"/>
    </row>
    <row r="3" spans="1:9" s="7" customFormat="1" ht="27.6" x14ac:dyDescent="0.3">
      <c r="A3" s="26" t="s">
        <v>107</v>
      </c>
      <c r="B3" s="27" t="s">
        <v>112</v>
      </c>
      <c r="C3" s="27" t="s">
        <v>113</v>
      </c>
      <c r="D3" s="27" t="s">
        <v>115</v>
      </c>
      <c r="E3" s="27" t="s">
        <v>116</v>
      </c>
      <c r="F3" s="27" t="s">
        <v>117</v>
      </c>
      <c r="G3" s="27" t="s">
        <v>145</v>
      </c>
      <c r="H3" s="27" t="s">
        <v>119</v>
      </c>
      <c r="I3" s="27" t="s">
        <v>120</v>
      </c>
    </row>
    <row r="4" spans="1:9" ht="14.4" x14ac:dyDescent="0.3">
      <c r="A4" s="28">
        <f>DATE(1997,1,1)</f>
        <v>35431</v>
      </c>
      <c r="B4" s="29">
        <v>155917573</v>
      </c>
      <c r="C4" s="29">
        <v>469431</v>
      </c>
      <c r="D4" s="33">
        <v>0</v>
      </c>
      <c r="E4" s="70">
        <v>65614</v>
      </c>
      <c r="F4" s="71">
        <v>4627</v>
      </c>
      <c r="G4" s="71"/>
      <c r="H4" s="71">
        <v>226884</v>
      </c>
      <c r="I4" s="31">
        <v>243933</v>
      </c>
    </row>
    <row r="5" spans="1:9" ht="14.4" x14ac:dyDescent="0.3">
      <c r="A5" s="28">
        <f>DATE(1997,2,1)</f>
        <v>35462</v>
      </c>
      <c r="B5" s="29">
        <v>151668623</v>
      </c>
      <c r="C5" s="29">
        <v>298505</v>
      </c>
      <c r="D5" s="33">
        <v>0</v>
      </c>
      <c r="E5" s="70">
        <v>71411</v>
      </c>
      <c r="F5" s="71">
        <v>41890</v>
      </c>
      <c r="G5" s="71"/>
      <c r="H5" s="71">
        <v>196701</v>
      </c>
      <c r="I5" s="31">
        <v>355583</v>
      </c>
    </row>
    <row r="6" spans="1:9" ht="14.4" x14ac:dyDescent="0.3">
      <c r="A6" s="28">
        <f>DATE(1997,3,1)</f>
        <v>35490</v>
      </c>
      <c r="B6" s="29">
        <v>174079296</v>
      </c>
      <c r="C6" s="29">
        <v>1395062</v>
      </c>
      <c r="D6" s="33">
        <v>0</v>
      </c>
      <c r="E6" s="70">
        <v>52284</v>
      </c>
      <c r="F6" s="71">
        <v>37494</v>
      </c>
      <c r="G6" s="71"/>
      <c r="H6" s="71">
        <v>0</v>
      </c>
      <c r="I6" s="31">
        <v>104321</v>
      </c>
    </row>
    <row r="7" spans="1:9" ht="14.4" x14ac:dyDescent="0.3">
      <c r="A7" s="28">
        <f>DATE(1997,4,1)</f>
        <v>35521</v>
      </c>
      <c r="B7" s="29">
        <v>174116325</v>
      </c>
      <c r="C7" s="29">
        <v>472856</v>
      </c>
      <c r="D7" s="33">
        <v>0</v>
      </c>
      <c r="E7" s="70">
        <v>125701</v>
      </c>
      <c r="F7" s="71">
        <v>37238</v>
      </c>
      <c r="G7" s="71"/>
      <c r="H7" s="71">
        <v>0</v>
      </c>
      <c r="I7" s="31">
        <v>0</v>
      </c>
    </row>
    <row r="8" spans="1:9" ht="14.4" x14ac:dyDescent="0.3">
      <c r="A8" s="28">
        <f>DATE(1997,5,1)</f>
        <v>35551</v>
      </c>
      <c r="B8" s="29">
        <v>182762232</v>
      </c>
      <c r="C8" s="29">
        <v>455941</v>
      </c>
      <c r="D8" s="33">
        <v>10449</v>
      </c>
      <c r="E8" s="70">
        <v>176740</v>
      </c>
      <c r="F8" s="71">
        <v>168895</v>
      </c>
      <c r="G8" s="71"/>
      <c r="H8" s="71">
        <v>324131</v>
      </c>
      <c r="I8" s="31">
        <v>4701</v>
      </c>
    </row>
    <row r="9" spans="1:9" ht="14.4" x14ac:dyDescent="0.3">
      <c r="A9" s="28">
        <f>DATE(1997,6,1)</f>
        <v>35582</v>
      </c>
      <c r="B9" s="29">
        <v>173207098</v>
      </c>
      <c r="C9" s="29">
        <v>521333</v>
      </c>
      <c r="D9" s="33">
        <v>0</v>
      </c>
      <c r="E9" s="70">
        <v>130496</v>
      </c>
      <c r="F9" s="71">
        <v>2521</v>
      </c>
      <c r="G9" s="71"/>
      <c r="H9" s="71">
        <v>188642</v>
      </c>
      <c r="I9" s="31">
        <v>80166</v>
      </c>
    </row>
    <row r="10" spans="1:9" ht="14.4" x14ac:dyDescent="0.3">
      <c r="A10" s="28">
        <f>DATE(1997,7,1)</f>
        <v>35612</v>
      </c>
      <c r="B10" s="29">
        <v>184021843</v>
      </c>
      <c r="C10" s="29">
        <v>697285</v>
      </c>
      <c r="D10" s="33">
        <v>0</v>
      </c>
      <c r="E10" s="70">
        <v>78276</v>
      </c>
      <c r="F10" s="72">
        <v>4128</v>
      </c>
      <c r="G10" s="72"/>
      <c r="H10" s="72">
        <v>0</v>
      </c>
      <c r="I10" s="33">
        <v>0</v>
      </c>
    </row>
    <row r="11" spans="1:9" ht="14.4" x14ac:dyDescent="0.3">
      <c r="A11" s="28">
        <f>DATE(1997,8,1)</f>
        <v>35643</v>
      </c>
      <c r="B11" s="29">
        <v>178886190</v>
      </c>
      <c r="C11" s="29">
        <v>654861</v>
      </c>
      <c r="D11" s="33">
        <v>8516</v>
      </c>
      <c r="E11" s="70">
        <v>59061</v>
      </c>
      <c r="F11" s="72">
        <v>0</v>
      </c>
      <c r="G11" s="72"/>
      <c r="H11" s="72">
        <v>0</v>
      </c>
      <c r="I11" s="33">
        <v>839411</v>
      </c>
    </row>
    <row r="12" spans="1:9" ht="14.4" x14ac:dyDescent="0.3">
      <c r="A12" s="28">
        <f>DATE(1997,9,1)</f>
        <v>35674</v>
      </c>
      <c r="B12" s="29">
        <v>165579061</v>
      </c>
      <c r="C12" s="29">
        <v>583353</v>
      </c>
      <c r="D12" s="33">
        <v>0</v>
      </c>
      <c r="E12" s="70">
        <v>94489</v>
      </c>
      <c r="F12" s="72">
        <v>2830</v>
      </c>
      <c r="G12" s="72"/>
      <c r="H12" s="72">
        <v>162524</v>
      </c>
      <c r="I12" s="33">
        <v>399803</v>
      </c>
    </row>
    <row r="13" spans="1:9" ht="14.4" x14ac:dyDescent="0.3">
      <c r="A13" s="28">
        <f>DATE(1997,10,1)</f>
        <v>35704</v>
      </c>
      <c r="B13" s="29">
        <v>161123634</v>
      </c>
      <c r="C13" s="29">
        <v>627664</v>
      </c>
      <c r="D13" s="33">
        <v>0</v>
      </c>
      <c r="E13" s="70">
        <v>69646</v>
      </c>
      <c r="F13" s="72">
        <v>4871</v>
      </c>
      <c r="G13" s="72"/>
      <c r="H13" s="72">
        <v>0</v>
      </c>
      <c r="I13" s="33">
        <v>1522579</v>
      </c>
    </row>
    <row r="14" spans="1:9" ht="14.4" x14ac:dyDescent="0.3">
      <c r="A14" s="28">
        <f>DATE(1997,11,1)</f>
        <v>35735</v>
      </c>
      <c r="B14" s="29">
        <v>167578439</v>
      </c>
      <c r="C14" s="29">
        <v>731870</v>
      </c>
      <c r="D14" s="33">
        <v>0</v>
      </c>
      <c r="E14" s="70">
        <v>75112</v>
      </c>
      <c r="F14" s="72">
        <v>2252</v>
      </c>
      <c r="G14" s="72"/>
      <c r="H14" s="72">
        <v>0</v>
      </c>
      <c r="I14" s="33">
        <v>0</v>
      </c>
    </row>
    <row r="15" spans="1:9" ht="14.4" x14ac:dyDescent="0.3">
      <c r="A15" s="28">
        <f>DATE(1997,12,1)</f>
        <v>35765</v>
      </c>
      <c r="B15" s="29">
        <v>152365721</v>
      </c>
      <c r="C15" s="29">
        <v>203312</v>
      </c>
      <c r="D15" s="33">
        <v>0</v>
      </c>
      <c r="E15" s="70">
        <v>384731</v>
      </c>
      <c r="F15" s="72">
        <v>46</v>
      </c>
      <c r="G15" s="72"/>
      <c r="H15" s="72">
        <v>83366</v>
      </c>
      <c r="I15" s="33">
        <v>1619490</v>
      </c>
    </row>
    <row r="16" spans="1:9" ht="15" thickBot="1" x14ac:dyDescent="0.35">
      <c r="A16" s="34"/>
      <c r="B16" s="73"/>
      <c r="C16" s="73"/>
      <c r="D16" s="73"/>
      <c r="E16" s="73"/>
      <c r="F16" s="35"/>
      <c r="G16" s="35"/>
      <c r="H16" s="35"/>
      <c r="I16" s="35"/>
    </row>
    <row r="17" spans="1:9" ht="15.6" thickTop="1" thickBot="1" x14ac:dyDescent="0.35">
      <c r="A17" s="36" t="s">
        <v>2</v>
      </c>
      <c r="B17" s="74">
        <f>SUM(B4:B15)</f>
        <v>2021306035</v>
      </c>
      <c r="C17" s="74">
        <f>SUM(C4:C15)</f>
        <v>7111473</v>
      </c>
      <c r="D17" s="74">
        <f>SUM(D4:D15)</f>
        <v>18965</v>
      </c>
      <c r="E17" s="74">
        <f>SUM(E4:E15)</f>
        <v>1383561</v>
      </c>
      <c r="F17" s="74">
        <f>SUM(F4:F14)</f>
        <v>306746</v>
      </c>
      <c r="G17" s="74"/>
      <c r="H17" s="74">
        <f>SUM(H4:H14)</f>
        <v>1098882</v>
      </c>
      <c r="I17" s="74">
        <f>SUM(I4:I14)</f>
        <v>3550497</v>
      </c>
    </row>
    <row r="18" spans="1:9" ht="15" thickTop="1" x14ac:dyDescent="0.3">
      <c r="A18" s="34"/>
      <c r="B18" s="73"/>
      <c r="C18" s="73"/>
      <c r="D18" s="73"/>
      <c r="E18" s="73"/>
      <c r="F18" s="73"/>
      <c r="G18" s="73"/>
      <c r="H18" s="73"/>
      <c r="I18" s="73"/>
    </row>
    <row r="19" spans="1:9" ht="14.4" x14ac:dyDescent="0.3">
      <c r="A19" s="28">
        <f>DATE(1998,1,1)</f>
        <v>35796</v>
      </c>
      <c r="B19" s="29">
        <v>150669259</v>
      </c>
      <c r="C19" s="29">
        <v>750646</v>
      </c>
      <c r="D19" s="33">
        <v>0</v>
      </c>
      <c r="E19" s="70">
        <v>58003</v>
      </c>
      <c r="F19" s="33">
        <v>2014</v>
      </c>
      <c r="G19" s="33"/>
      <c r="H19" s="33">
        <v>151497</v>
      </c>
      <c r="I19" s="33">
        <v>9700</v>
      </c>
    </row>
    <row r="20" spans="1:9" ht="14.4" x14ac:dyDescent="0.3">
      <c r="A20" s="28">
        <f>DATE(1998,2,1)</f>
        <v>35827</v>
      </c>
      <c r="B20" s="29">
        <v>145095064</v>
      </c>
      <c r="C20" s="29">
        <v>172815</v>
      </c>
      <c r="D20" s="33">
        <v>0</v>
      </c>
      <c r="E20" s="70">
        <v>74966</v>
      </c>
      <c r="F20" s="33">
        <v>20812</v>
      </c>
      <c r="G20" s="33"/>
      <c r="H20" s="33">
        <v>0</v>
      </c>
      <c r="I20" s="33">
        <v>0</v>
      </c>
    </row>
    <row r="21" spans="1:9" ht="14.4" x14ac:dyDescent="0.3">
      <c r="A21" s="28">
        <f>DATE(1998,3,1)</f>
        <v>35855</v>
      </c>
      <c r="B21" s="29">
        <v>176050943</v>
      </c>
      <c r="C21" s="29">
        <v>222789</v>
      </c>
      <c r="D21" s="33">
        <v>0</v>
      </c>
      <c r="E21" s="70">
        <v>70532</v>
      </c>
      <c r="F21" s="33">
        <v>60693</v>
      </c>
      <c r="G21" s="33"/>
      <c r="H21" s="33">
        <v>574880</v>
      </c>
      <c r="I21" s="33">
        <v>369714</v>
      </c>
    </row>
    <row r="22" spans="1:9" ht="14.4" x14ac:dyDescent="0.3">
      <c r="A22" s="28">
        <f>DATE(1998,4,1)</f>
        <v>35886</v>
      </c>
      <c r="B22" s="29">
        <v>173841623</v>
      </c>
      <c r="C22" s="29">
        <v>64455</v>
      </c>
      <c r="D22" s="33">
        <v>0</v>
      </c>
      <c r="E22" s="70">
        <v>102730</v>
      </c>
      <c r="F22" s="33">
        <v>165754</v>
      </c>
      <c r="G22" s="33"/>
      <c r="H22" s="33">
        <v>0</v>
      </c>
      <c r="I22" s="33">
        <v>0</v>
      </c>
    </row>
    <row r="23" spans="1:9" ht="14.4" x14ac:dyDescent="0.3">
      <c r="A23" s="28">
        <f>DATE(1998,5,1)</f>
        <v>35916</v>
      </c>
      <c r="B23" s="29">
        <v>167656273</v>
      </c>
      <c r="C23" s="29">
        <v>330313</v>
      </c>
      <c r="D23" s="33">
        <v>1551</v>
      </c>
      <c r="E23" s="70">
        <v>94257</v>
      </c>
      <c r="F23" s="33">
        <v>6271</v>
      </c>
      <c r="G23" s="33"/>
      <c r="H23" s="33">
        <v>0</v>
      </c>
      <c r="I23" s="33">
        <v>0</v>
      </c>
    </row>
    <row r="24" spans="1:9" ht="14.4" x14ac:dyDescent="0.3">
      <c r="A24" s="28">
        <f>DATE(1998,6,1)</f>
        <v>35947</v>
      </c>
      <c r="B24" s="29">
        <v>182625510</v>
      </c>
      <c r="C24" s="29">
        <v>303608</v>
      </c>
      <c r="D24" s="33">
        <v>418</v>
      </c>
      <c r="E24" s="70">
        <v>78708</v>
      </c>
      <c r="F24" s="33">
        <v>13634</v>
      </c>
      <c r="G24" s="33"/>
      <c r="H24" s="33">
        <v>0</v>
      </c>
      <c r="I24" s="33">
        <v>285544</v>
      </c>
    </row>
    <row r="25" spans="1:9" ht="14.4" x14ac:dyDescent="0.3">
      <c r="A25" s="28">
        <f>DATE(1998,7,1)</f>
        <v>35977</v>
      </c>
      <c r="B25" s="29">
        <v>200345600</v>
      </c>
      <c r="C25" s="29">
        <v>238269</v>
      </c>
      <c r="D25" s="33">
        <v>2000</v>
      </c>
      <c r="E25" s="70">
        <v>89816</v>
      </c>
      <c r="F25" s="33">
        <v>12649</v>
      </c>
      <c r="G25" s="33"/>
      <c r="H25" s="33">
        <v>0</v>
      </c>
      <c r="I25" s="33">
        <v>0</v>
      </c>
    </row>
    <row r="26" spans="1:9" ht="14.4" x14ac:dyDescent="0.3">
      <c r="A26" s="28">
        <f>DATE(1998,8,1)</f>
        <v>36008</v>
      </c>
      <c r="B26" s="29">
        <v>189916644</v>
      </c>
      <c r="C26" s="29">
        <v>283786</v>
      </c>
      <c r="D26" s="33">
        <v>0</v>
      </c>
      <c r="E26" s="29">
        <v>74753</v>
      </c>
      <c r="F26" s="33">
        <v>17734</v>
      </c>
      <c r="G26" s="33"/>
      <c r="H26" s="33">
        <v>277469</v>
      </c>
      <c r="I26" s="33">
        <v>1278074</v>
      </c>
    </row>
    <row r="27" spans="1:9" ht="14.4" x14ac:dyDescent="0.3">
      <c r="A27" s="28">
        <f>DATE(1998,9,1)</f>
        <v>36039</v>
      </c>
      <c r="B27" s="29">
        <v>177464470</v>
      </c>
      <c r="C27" s="29">
        <v>384491</v>
      </c>
      <c r="D27" s="33">
        <v>0</v>
      </c>
      <c r="E27" s="29">
        <v>68886</v>
      </c>
      <c r="F27" s="33">
        <v>1006</v>
      </c>
      <c r="G27" s="33"/>
      <c r="H27" s="33">
        <v>422445</v>
      </c>
      <c r="I27" s="33">
        <v>0</v>
      </c>
    </row>
    <row r="28" spans="1:9" ht="14.4" x14ac:dyDescent="0.3">
      <c r="A28" s="28">
        <f>DATE(1998,10,1)</f>
        <v>36069</v>
      </c>
      <c r="B28" s="29">
        <v>183177632</v>
      </c>
      <c r="C28" s="29">
        <v>267267</v>
      </c>
      <c r="D28" s="33">
        <v>5700</v>
      </c>
      <c r="E28" s="29">
        <v>92114</v>
      </c>
      <c r="F28" s="33">
        <v>2922</v>
      </c>
      <c r="G28" s="33"/>
      <c r="H28" s="33">
        <v>79234</v>
      </c>
      <c r="I28" s="33">
        <v>1568351</v>
      </c>
    </row>
    <row r="29" spans="1:9" ht="14.4" x14ac:dyDescent="0.3">
      <c r="A29" s="28">
        <f>DATE(1998,11,1)</f>
        <v>36100</v>
      </c>
      <c r="B29" s="29">
        <v>174116003</v>
      </c>
      <c r="C29" s="29">
        <v>363014</v>
      </c>
      <c r="D29" s="33">
        <v>0</v>
      </c>
      <c r="E29" s="29">
        <v>51818</v>
      </c>
      <c r="F29" s="33">
        <v>340</v>
      </c>
      <c r="G29" s="33"/>
      <c r="H29" s="33">
        <v>0</v>
      </c>
      <c r="I29" s="33">
        <v>0</v>
      </c>
    </row>
    <row r="30" spans="1:9" ht="14.4" x14ac:dyDescent="0.3">
      <c r="A30" s="28">
        <f>DATE(1998,12,1)</f>
        <v>36130</v>
      </c>
      <c r="B30" s="29">
        <v>161729429</v>
      </c>
      <c r="C30" s="29">
        <v>319741</v>
      </c>
      <c r="D30" s="33">
        <v>0</v>
      </c>
      <c r="E30" s="29">
        <v>61396</v>
      </c>
      <c r="F30" s="33">
        <v>791</v>
      </c>
      <c r="G30" s="33"/>
      <c r="H30" s="33">
        <v>288493</v>
      </c>
      <c r="I30" s="33">
        <v>1790438</v>
      </c>
    </row>
    <row r="31" spans="1:9" ht="15" thickBot="1" x14ac:dyDescent="0.35">
      <c r="A31" s="34"/>
      <c r="B31" s="73"/>
      <c r="C31" s="73"/>
      <c r="D31" s="73"/>
      <c r="E31" s="73"/>
      <c r="F31" s="73"/>
      <c r="G31" s="73"/>
      <c r="H31" s="73"/>
      <c r="I31" s="73"/>
    </row>
    <row r="32" spans="1:9" ht="15.6" thickTop="1" thickBot="1" x14ac:dyDescent="0.35">
      <c r="A32" s="36" t="s">
        <v>2</v>
      </c>
      <c r="B32" s="74">
        <f>SUM(B19:B30)</f>
        <v>2082688450</v>
      </c>
      <c r="C32" s="74">
        <f t="shared" ref="C32:I32" si="0">SUM(C19:C30)</f>
        <v>3701194</v>
      </c>
      <c r="D32" s="74">
        <f t="shared" si="0"/>
        <v>9669</v>
      </c>
      <c r="E32" s="74">
        <f t="shared" si="0"/>
        <v>917979</v>
      </c>
      <c r="F32" s="74">
        <f t="shared" si="0"/>
        <v>304620</v>
      </c>
      <c r="G32" s="74"/>
      <c r="H32" s="74">
        <f t="shared" si="0"/>
        <v>1794018</v>
      </c>
      <c r="I32" s="74">
        <f t="shared" si="0"/>
        <v>5301821</v>
      </c>
    </row>
    <row r="33" spans="1:9" ht="15" thickTop="1" x14ac:dyDescent="0.3">
      <c r="A33" s="34"/>
      <c r="B33" s="73"/>
      <c r="C33" s="73"/>
      <c r="D33" s="73"/>
      <c r="E33" s="73"/>
      <c r="F33" s="73"/>
      <c r="G33" s="73"/>
      <c r="H33" s="73"/>
      <c r="I33" s="73"/>
    </row>
    <row r="34" spans="1:9" ht="14.4" x14ac:dyDescent="0.3">
      <c r="A34" s="28">
        <f>DATE(1999,1,1)</f>
        <v>36161</v>
      </c>
      <c r="B34" s="29">
        <v>155813503</v>
      </c>
      <c r="C34" s="29">
        <v>367724</v>
      </c>
      <c r="D34" s="33">
        <v>0</v>
      </c>
      <c r="E34" s="29">
        <v>84683</v>
      </c>
      <c r="F34" s="49">
        <v>290</v>
      </c>
      <c r="G34" s="49"/>
      <c r="H34" s="49">
        <v>0</v>
      </c>
      <c r="I34" s="49">
        <v>43157</v>
      </c>
    </row>
    <row r="35" spans="1:9" ht="14.4" x14ac:dyDescent="0.3">
      <c r="A35" s="28">
        <f>DATE(1999,2,1)</f>
        <v>36192</v>
      </c>
      <c r="B35" s="29">
        <v>169985443</v>
      </c>
      <c r="C35" s="29">
        <v>189609</v>
      </c>
      <c r="D35" s="33">
        <v>0</v>
      </c>
      <c r="E35" s="29">
        <v>45739</v>
      </c>
      <c r="F35" s="49">
        <v>3350</v>
      </c>
      <c r="G35" s="49"/>
      <c r="H35" s="49">
        <v>196814</v>
      </c>
      <c r="I35" s="49">
        <v>386523</v>
      </c>
    </row>
    <row r="36" spans="1:9" ht="14.4" x14ac:dyDescent="0.3">
      <c r="A36" s="28">
        <f>DATE(1999,3,1)</f>
        <v>36220</v>
      </c>
      <c r="B36" s="33">
        <v>165244620</v>
      </c>
      <c r="C36" s="33">
        <v>246309</v>
      </c>
      <c r="D36" s="33">
        <v>0</v>
      </c>
      <c r="E36" s="33">
        <v>77848</v>
      </c>
      <c r="F36" s="33">
        <v>9110</v>
      </c>
      <c r="G36" s="33"/>
      <c r="H36" s="33">
        <v>129710</v>
      </c>
      <c r="I36" s="33">
        <v>0</v>
      </c>
    </row>
    <row r="37" spans="1:9" ht="14.4" x14ac:dyDescent="0.3">
      <c r="A37" s="28">
        <f>DATE(1999,4,1)</f>
        <v>36251</v>
      </c>
      <c r="B37" s="33">
        <v>189861945</v>
      </c>
      <c r="C37" s="33">
        <v>364251</v>
      </c>
      <c r="D37" s="33">
        <v>0</v>
      </c>
      <c r="E37" s="33">
        <v>74127</v>
      </c>
      <c r="F37" s="33">
        <v>31428</v>
      </c>
      <c r="G37" s="33"/>
      <c r="H37" s="33">
        <v>0</v>
      </c>
      <c r="I37" s="33">
        <v>0</v>
      </c>
    </row>
    <row r="38" spans="1:9" ht="14.4" x14ac:dyDescent="0.3">
      <c r="A38" s="28">
        <f>DATE(1999,5,1)</f>
        <v>36281</v>
      </c>
      <c r="B38" s="33">
        <v>208810947</v>
      </c>
      <c r="C38" s="33">
        <v>314234</v>
      </c>
      <c r="D38" s="33">
        <v>0</v>
      </c>
      <c r="E38" s="33">
        <v>77419</v>
      </c>
      <c r="F38" s="33">
        <v>49448</v>
      </c>
      <c r="G38" s="33"/>
      <c r="H38" s="33">
        <v>0</v>
      </c>
      <c r="I38" s="33">
        <v>144486</v>
      </c>
    </row>
    <row r="39" spans="1:9" ht="14.4" x14ac:dyDescent="0.3">
      <c r="A39" s="28">
        <f>DATE(1999,6,1)</f>
        <v>36312</v>
      </c>
      <c r="B39" s="33">
        <v>207480335</v>
      </c>
      <c r="C39" s="33">
        <v>291297</v>
      </c>
      <c r="D39" s="33">
        <v>0</v>
      </c>
      <c r="E39" s="33">
        <v>72780</v>
      </c>
      <c r="F39" s="33">
        <v>16649</v>
      </c>
      <c r="G39" s="33"/>
      <c r="H39" s="33">
        <v>0</v>
      </c>
      <c r="I39" s="33">
        <v>0</v>
      </c>
    </row>
    <row r="40" spans="1:9" ht="14.4" x14ac:dyDescent="0.3">
      <c r="A40" s="28">
        <f>DATE(1999,7,1)</f>
        <v>36342</v>
      </c>
      <c r="B40" s="33">
        <v>216310592</v>
      </c>
      <c r="C40" s="33">
        <v>293491</v>
      </c>
      <c r="D40" s="33">
        <v>0</v>
      </c>
      <c r="E40" s="33">
        <v>41239</v>
      </c>
      <c r="F40" s="33">
        <v>3820</v>
      </c>
      <c r="G40" s="33"/>
      <c r="H40" s="33">
        <v>0</v>
      </c>
      <c r="I40" s="33">
        <v>0</v>
      </c>
    </row>
    <row r="41" spans="1:9" ht="14.4" x14ac:dyDescent="0.3">
      <c r="A41" s="28">
        <f>DATE(1999,8,1)</f>
        <v>36373</v>
      </c>
      <c r="B41" s="33">
        <v>209089127</v>
      </c>
      <c r="C41" s="33">
        <v>252226</v>
      </c>
      <c r="D41" s="33">
        <v>0</v>
      </c>
      <c r="E41" s="33">
        <v>80042</v>
      </c>
      <c r="F41" s="33">
        <v>15593</v>
      </c>
      <c r="G41" s="33"/>
      <c r="H41" s="33">
        <v>26476</v>
      </c>
      <c r="I41" s="33">
        <v>33931</v>
      </c>
    </row>
    <row r="42" spans="1:9" ht="14.4" x14ac:dyDescent="0.3">
      <c r="A42" s="28">
        <f>DATE(1999,9,1)</f>
        <v>36404</v>
      </c>
      <c r="B42" s="33">
        <v>155278456</v>
      </c>
      <c r="C42" s="33">
        <v>298014</v>
      </c>
      <c r="D42" s="33">
        <v>0</v>
      </c>
      <c r="E42" s="33">
        <v>12517</v>
      </c>
      <c r="F42" s="33">
        <v>0</v>
      </c>
      <c r="G42" s="33"/>
      <c r="H42" s="33">
        <v>479182</v>
      </c>
      <c r="I42" s="33">
        <v>1369400</v>
      </c>
    </row>
    <row r="43" spans="1:9" ht="14.4" x14ac:dyDescent="0.3">
      <c r="A43" s="28">
        <f>DATE(1999,10,1)</f>
        <v>36434</v>
      </c>
      <c r="B43" s="33">
        <v>164570983</v>
      </c>
      <c r="C43" s="33">
        <v>197429</v>
      </c>
      <c r="D43" s="33">
        <v>47</v>
      </c>
      <c r="E43" s="33">
        <v>57125</v>
      </c>
      <c r="F43" s="33">
        <v>1465</v>
      </c>
      <c r="G43" s="33"/>
      <c r="H43" s="33">
        <v>32092</v>
      </c>
      <c r="I43" s="33">
        <v>1276459</v>
      </c>
    </row>
    <row r="44" spans="1:9" ht="14.4" x14ac:dyDescent="0.3">
      <c r="A44" s="28">
        <f>DATE(1999,11,1)</f>
        <v>36465</v>
      </c>
      <c r="B44" s="33">
        <v>163840766</v>
      </c>
      <c r="C44" s="33">
        <v>279891</v>
      </c>
      <c r="D44" s="33">
        <v>0</v>
      </c>
      <c r="E44" s="33">
        <v>37244</v>
      </c>
      <c r="F44" s="33">
        <v>63</v>
      </c>
      <c r="G44" s="33"/>
      <c r="H44" s="33">
        <v>261285</v>
      </c>
      <c r="I44" s="33">
        <v>1144377</v>
      </c>
    </row>
    <row r="45" spans="1:9" ht="14.4" x14ac:dyDescent="0.3">
      <c r="A45" s="28">
        <f>DATE(1999,12,1)</f>
        <v>36495</v>
      </c>
      <c r="B45" s="33">
        <v>149173630</v>
      </c>
      <c r="C45" s="33">
        <v>203569</v>
      </c>
      <c r="D45" s="33">
        <v>0</v>
      </c>
      <c r="E45" s="33">
        <v>31220</v>
      </c>
      <c r="F45" s="33">
        <v>0</v>
      </c>
      <c r="G45" s="33"/>
      <c r="H45" s="33">
        <v>265597</v>
      </c>
      <c r="I45" s="33">
        <v>1202723</v>
      </c>
    </row>
    <row r="46" spans="1:9" ht="15" thickBot="1" x14ac:dyDescent="0.35">
      <c r="A46" s="34"/>
      <c r="B46" s="73"/>
      <c r="C46" s="73"/>
      <c r="D46" s="73"/>
      <c r="E46" s="73"/>
      <c r="F46" s="73"/>
      <c r="G46" s="73"/>
      <c r="H46" s="73"/>
      <c r="I46" s="73"/>
    </row>
    <row r="47" spans="1:9" ht="15.6" thickTop="1" thickBot="1" x14ac:dyDescent="0.35">
      <c r="A47" s="36" t="s">
        <v>2</v>
      </c>
      <c r="B47" s="74">
        <f>SUM(B34:B45)</f>
        <v>2155460347</v>
      </c>
      <c r="C47" s="74">
        <f>SUM(C34:C45)</f>
        <v>3298044</v>
      </c>
      <c r="D47" s="74">
        <f>SUM(D34:D45)</f>
        <v>47</v>
      </c>
      <c r="E47" s="74">
        <f>SUM(E34:E45)</f>
        <v>691983</v>
      </c>
      <c r="F47" s="74">
        <f>SUM(F35:F45)</f>
        <v>130926</v>
      </c>
      <c r="G47" s="74"/>
      <c r="H47" s="74">
        <f>SUM(H35:H45)</f>
        <v>1391156</v>
      </c>
      <c r="I47" s="74">
        <f>SUM(I35:I45)</f>
        <v>5557899</v>
      </c>
    </row>
    <row r="48" spans="1:9" ht="15" thickTop="1" x14ac:dyDescent="0.3">
      <c r="A48" s="34"/>
      <c r="B48" s="35"/>
      <c r="C48" s="35"/>
      <c r="D48" s="35"/>
      <c r="E48" s="35"/>
      <c r="F48" s="35"/>
      <c r="G48" s="35"/>
      <c r="H48" s="35"/>
      <c r="I48" s="35"/>
    </row>
    <row r="49" spans="1:9" ht="14.4" x14ac:dyDescent="0.3">
      <c r="A49" s="28">
        <f>DATE(2000,1,1)</f>
        <v>36526</v>
      </c>
      <c r="B49" s="29">
        <v>149565932</v>
      </c>
      <c r="C49" s="29">
        <v>51095</v>
      </c>
      <c r="D49" s="33">
        <v>0</v>
      </c>
      <c r="E49" s="29">
        <v>35756</v>
      </c>
      <c r="F49" s="49">
        <v>0</v>
      </c>
      <c r="G49" s="49"/>
      <c r="H49" s="49">
        <v>113795</v>
      </c>
      <c r="I49" s="49">
        <v>616919</v>
      </c>
    </row>
    <row r="50" spans="1:9" ht="14.4" x14ac:dyDescent="0.3">
      <c r="A50" s="28">
        <f>DATE(2000,2,1)</f>
        <v>36557</v>
      </c>
      <c r="B50" s="29">
        <v>166586366</v>
      </c>
      <c r="C50" s="29">
        <v>227922</v>
      </c>
      <c r="D50" s="33">
        <v>0</v>
      </c>
      <c r="E50" s="29">
        <v>23041</v>
      </c>
      <c r="F50" s="49">
        <v>375</v>
      </c>
      <c r="G50" s="49"/>
      <c r="H50" s="49">
        <v>0</v>
      </c>
      <c r="I50" s="49">
        <v>0</v>
      </c>
    </row>
    <row r="51" spans="1:9" ht="14.4" x14ac:dyDescent="0.3">
      <c r="A51" s="28">
        <f>DATE(2000,3,1)</f>
        <v>36586</v>
      </c>
      <c r="B51" s="33">
        <v>157462649</v>
      </c>
      <c r="C51" s="33">
        <v>135523</v>
      </c>
      <c r="D51" s="33">
        <v>0</v>
      </c>
      <c r="E51" s="33">
        <v>14586</v>
      </c>
      <c r="F51" s="33">
        <v>8960</v>
      </c>
      <c r="G51" s="33"/>
      <c r="H51" s="33">
        <v>72517</v>
      </c>
      <c r="I51" s="33">
        <v>0</v>
      </c>
    </row>
    <row r="52" spans="1:9" ht="14.4" x14ac:dyDescent="0.3">
      <c r="A52" s="28">
        <f>DATE(2000,4,1)</f>
        <v>36617</v>
      </c>
      <c r="B52" s="33">
        <v>180288925</v>
      </c>
      <c r="C52" s="33">
        <v>257694</v>
      </c>
      <c r="D52" s="33">
        <v>0</v>
      </c>
      <c r="E52" s="33">
        <v>35648</v>
      </c>
      <c r="F52" s="33">
        <v>4862</v>
      </c>
      <c r="G52" s="33"/>
      <c r="H52" s="33">
        <v>268960</v>
      </c>
      <c r="I52" s="33">
        <v>109293</v>
      </c>
    </row>
    <row r="53" spans="1:9" ht="14.4" x14ac:dyDescent="0.3">
      <c r="A53" s="28">
        <f>DATE(2000,5,1)</f>
        <v>36647</v>
      </c>
      <c r="B53" s="33">
        <v>184463621</v>
      </c>
      <c r="C53" s="33">
        <v>217604</v>
      </c>
      <c r="D53" s="33">
        <v>0</v>
      </c>
      <c r="E53" s="33">
        <v>34651</v>
      </c>
      <c r="F53" s="33">
        <v>6927</v>
      </c>
      <c r="G53" s="33"/>
      <c r="H53" s="33">
        <v>461691</v>
      </c>
      <c r="I53" s="33">
        <v>258277</v>
      </c>
    </row>
    <row r="54" spans="1:9" ht="14.4" x14ac:dyDescent="0.3">
      <c r="A54" s="28">
        <f>DATE(2000,6,1)</f>
        <v>36678</v>
      </c>
      <c r="B54" s="33">
        <v>185309106</v>
      </c>
      <c r="C54" s="33">
        <v>224359</v>
      </c>
      <c r="D54" s="33">
        <v>3253</v>
      </c>
      <c r="E54" s="33">
        <v>22932</v>
      </c>
      <c r="F54" s="33">
        <v>3518</v>
      </c>
      <c r="G54" s="33"/>
      <c r="H54" s="33">
        <v>0</v>
      </c>
      <c r="I54" s="33">
        <v>0</v>
      </c>
    </row>
    <row r="55" spans="1:9" ht="14.4" x14ac:dyDescent="0.3">
      <c r="A55" s="28">
        <f>DATE(2000,7,1)</f>
        <v>36708</v>
      </c>
      <c r="B55" s="33">
        <v>184565328</v>
      </c>
      <c r="C55" s="33">
        <v>272438</v>
      </c>
      <c r="D55" s="33">
        <v>0</v>
      </c>
      <c r="E55" s="33">
        <v>6001</v>
      </c>
      <c r="F55" s="33">
        <v>3711</v>
      </c>
      <c r="G55" s="33"/>
      <c r="H55" s="33">
        <v>0</v>
      </c>
      <c r="I55" s="33">
        <v>0</v>
      </c>
    </row>
    <row r="56" spans="1:9" ht="14.4" x14ac:dyDescent="0.3">
      <c r="A56" s="28">
        <f>DATE(2000,8,1)</f>
        <v>36739</v>
      </c>
      <c r="B56" s="33">
        <v>173408575</v>
      </c>
      <c r="C56" s="33">
        <v>236537</v>
      </c>
      <c r="D56" s="33">
        <v>0</v>
      </c>
      <c r="E56" s="33">
        <v>32653</v>
      </c>
      <c r="F56" s="33">
        <v>1487</v>
      </c>
      <c r="G56" s="33"/>
      <c r="H56" s="33">
        <v>153221</v>
      </c>
      <c r="I56" s="33">
        <v>1019052</v>
      </c>
    </row>
    <row r="57" spans="1:9" ht="14.4" x14ac:dyDescent="0.3">
      <c r="A57" s="28">
        <f>DATE(2000,9,1)</f>
        <v>36770</v>
      </c>
      <c r="B57" s="33">
        <v>176899650</v>
      </c>
      <c r="C57" s="33">
        <v>188298</v>
      </c>
      <c r="D57" s="33">
        <v>7101</v>
      </c>
      <c r="E57" s="33">
        <v>24005</v>
      </c>
      <c r="F57" s="33">
        <v>0</v>
      </c>
      <c r="G57" s="33"/>
      <c r="H57" s="33">
        <v>0</v>
      </c>
      <c r="I57" s="33">
        <v>0</v>
      </c>
    </row>
    <row r="58" spans="1:9" ht="14.4" x14ac:dyDescent="0.3">
      <c r="A58" s="28">
        <f>DATE(2000,10,1)</f>
        <v>36800</v>
      </c>
      <c r="B58" s="33">
        <v>168070569</v>
      </c>
      <c r="C58" s="33">
        <v>268781</v>
      </c>
      <c r="D58" s="33">
        <v>0</v>
      </c>
      <c r="E58" s="33">
        <v>28501</v>
      </c>
      <c r="F58" s="33">
        <v>0</v>
      </c>
      <c r="G58" s="33"/>
      <c r="H58" s="33">
        <v>227911</v>
      </c>
      <c r="I58" s="33">
        <v>0</v>
      </c>
    </row>
    <row r="59" spans="1:9" ht="14.4" x14ac:dyDescent="0.3">
      <c r="A59" s="28">
        <f>DATE(2000,11,1)</f>
        <v>36831</v>
      </c>
      <c r="B59" s="33">
        <v>168166296</v>
      </c>
      <c r="C59" s="33">
        <v>198601</v>
      </c>
      <c r="D59" s="33">
        <v>0</v>
      </c>
      <c r="E59" s="33">
        <v>27939</v>
      </c>
      <c r="F59" s="33">
        <v>0</v>
      </c>
      <c r="G59" s="33"/>
      <c r="H59" s="33">
        <v>0</v>
      </c>
      <c r="I59" s="33">
        <v>0</v>
      </c>
    </row>
    <row r="60" spans="1:9" ht="14.4" x14ac:dyDescent="0.3">
      <c r="A60" s="28">
        <f>DATE(2000,12,1)</f>
        <v>36861</v>
      </c>
      <c r="B60" s="33">
        <v>177566972</v>
      </c>
      <c r="C60" s="33">
        <v>247998</v>
      </c>
      <c r="D60" s="33">
        <v>0</v>
      </c>
      <c r="E60" s="33">
        <v>50478</v>
      </c>
      <c r="F60" s="33">
        <v>0</v>
      </c>
      <c r="G60" s="33"/>
      <c r="H60" s="33">
        <v>0</v>
      </c>
      <c r="I60" s="33">
        <v>0</v>
      </c>
    </row>
    <row r="61" spans="1:9" ht="15" thickBot="1" x14ac:dyDescent="0.35">
      <c r="A61" s="34"/>
      <c r="B61" s="73"/>
      <c r="C61" s="73"/>
      <c r="D61" s="73"/>
      <c r="E61" s="73"/>
      <c r="F61" s="73"/>
      <c r="G61" s="73"/>
      <c r="H61" s="73"/>
      <c r="I61" s="73"/>
    </row>
    <row r="62" spans="1:9" ht="15" thickTop="1" x14ac:dyDescent="0.3">
      <c r="A62" s="75" t="s">
        <v>2</v>
      </c>
      <c r="B62" s="76">
        <f>SUM(B49:B60)</f>
        <v>2072353989</v>
      </c>
      <c r="C62" s="76">
        <f>SUM(C49:C60)</f>
        <v>2526850</v>
      </c>
      <c r="D62" s="76">
        <f>SUM(D49:D60)</f>
        <v>10354</v>
      </c>
      <c r="E62" s="76">
        <f>SUM(E49:E60)</f>
        <v>336191</v>
      </c>
      <c r="F62" s="76">
        <f>SUM(F50:F60)</f>
        <v>29840</v>
      </c>
      <c r="G62" s="76"/>
      <c r="H62" s="76">
        <f>SUM(H50:H60)</f>
        <v>1184300</v>
      </c>
      <c r="I62" s="76">
        <f>SUM(I50:I60)</f>
        <v>1386622</v>
      </c>
    </row>
    <row r="63" spans="1:9" ht="15" customHeight="1" x14ac:dyDescent="0.3">
      <c r="A63" s="28"/>
      <c r="B63" s="49"/>
      <c r="C63" s="49"/>
      <c r="D63" s="49"/>
      <c r="E63" s="49"/>
      <c r="F63" s="49"/>
      <c r="G63" s="49"/>
      <c r="H63" s="49"/>
      <c r="I63" s="49"/>
    </row>
    <row r="64" spans="1:9" ht="14.4" x14ac:dyDescent="0.3">
      <c r="A64" s="28">
        <f>DATE(2001,1,1)</f>
        <v>36892</v>
      </c>
      <c r="B64" s="29">
        <v>169661193</v>
      </c>
      <c r="C64" s="29">
        <v>240729</v>
      </c>
      <c r="D64" s="29">
        <v>0</v>
      </c>
      <c r="E64" s="29">
        <v>26207</v>
      </c>
      <c r="F64" s="29">
        <v>323</v>
      </c>
      <c r="G64" s="29"/>
      <c r="H64" s="29">
        <v>160318</v>
      </c>
      <c r="I64" s="29">
        <v>2130043</v>
      </c>
    </row>
    <row r="65" spans="1:9" ht="14.4" x14ac:dyDescent="0.3">
      <c r="A65" s="28">
        <f>DATE(2001,2,1)</f>
        <v>36923</v>
      </c>
      <c r="B65" s="29">
        <v>161048230</v>
      </c>
      <c r="C65" s="29">
        <v>136905</v>
      </c>
      <c r="D65" s="29">
        <v>0</v>
      </c>
      <c r="E65" s="29">
        <v>43211</v>
      </c>
      <c r="F65" s="29">
        <v>262</v>
      </c>
      <c r="G65" s="29"/>
      <c r="H65" s="29">
        <v>0</v>
      </c>
      <c r="I65" s="29">
        <v>291647</v>
      </c>
    </row>
    <row r="66" spans="1:9" ht="14.4" x14ac:dyDescent="0.3">
      <c r="A66" s="28">
        <f>DATE(2001,3,1)</f>
        <v>36951</v>
      </c>
      <c r="B66" s="29">
        <v>184838424</v>
      </c>
      <c r="C66" s="29">
        <v>151495</v>
      </c>
      <c r="D66" s="29">
        <v>0</v>
      </c>
      <c r="E66" s="29">
        <v>35373</v>
      </c>
      <c r="F66" s="29">
        <v>14539</v>
      </c>
      <c r="G66" s="29"/>
      <c r="H66" s="29">
        <v>377456</v>
      </c>
      <c r="I66" s="29">
        <v>0</v>
      </c>
    </row>
    <row r="67" spans="1:9" ht="14.4" x14ac:dyDescent="0.3">
      <c r="A67" s="28">
        <f>DATE(2001,4,1)</f>
        <v>36982</v>
      </c>
      <c r="B67" s="29">
        <v>186941165</v>
      </c>
      <c r="C67" s="29">
        <v>130651</v>
      </c>
      <c r="D67" s="29">
        <v>0</v>
      </c>
      <c r="E67" s="29">
        <v>59678</v>
      </c>
      <c r="F67" s="29">
        <v>21562</v>
      </c>
      <c r="G67" s="29"/>
      <c r="H67" s="29">
        <v>356499</v>
      </c>
      <c r="I67" s="29">
        <v>123568</v>
      </c>
    </row>
    <row r="68" spans="1:9" ht="14.4" x14ac:dyDescent="0.3">
      <c r="A68" s="28">
        <f>DATE(2001,5,1)</f>
        <v>37012</v>
      </c>
      <c r="B68" s="29">
        <v>189894097</v>
      </c>
      <c r="C68" s="29">
        <v>156965</v>
      </c>
      <c r="D68" s="29">
        <v>0</v>
      </c>
      <c r="E68" s="29">
        <v>33549</v>
      </c>
      <c r="F68" s="29">
        <v>6536</v>
      </c>
      <c r="G68" s="29"/>
      <c r="H68" s="29">
        <v>109340</v>
      </c>
      <c r="I68" s="29">
        <v>83503</v>
      </c>
    </row>
    <row r="69" spans="1:9" ht="14.4" x14ac:dyDescent="0.3">
      <c r="A69" s="28">
        <f>DATE(2001,6,1)</f>
        <v>37043</v>
      </c>
      <c r="B69" s="29">
        <v>189283006</v>
      </c>
      <c r="C69" s="29">
        <v>190610</v>
      </c>
      <c r="D69" s="29">
        <v>0</v>
      </c>
      <c r="E69" s="29">
        <v>75266</v>
      </c>
      <c r="F69" s="29">
        <v>2705</v>
      </c>
      <c r="G69" s="29"/>
      <c r="H69" s="29">
        <v>15859</v>
      </c>
      <c r="I69" s="29">
        <v>0</v>
      </c>
    </row>
    <row r="70" spans="1:9" ht="14.4" x14ac:dyDescent="0.3">
      <c r="A70" s="28">
        <f>DATE(2001,7,1)</f>
        <v>37073</v>
      </c>
      <c r="B70" s="29">
        <v>190856986</v>
      </c>
      <c r="C70" s="29">
        <v>237305</v>
      </c>
      <c r="D70" s="29">
        <v>0</v>
      </c>
      <c r="E70" s="29">
        <v>49034</v>
      </c>
      <c r="F70" s="29">
        <v>0</v>
      </c>
      <c r="G70" s="29"/>
      <c r="H70" s="29">
        <v>0</v>
      </c>
      <c r="I70" s="29">
        <v>0</v>
      </c>
    </row>
    <row r="71" spans="1:9" ht="14.4" x14ac:dyDescent="0.3">
      <c r="A71" s="28">
        <f>DATE(2001,8,1)</f>
        <v>37104</v>
      </c>
      <c r="B71" s="29">
        <v>198186973</v>
      </c>
      <c r="C71" s="29">
        <v>253907</v>
      </c>
      <c r="D71" s="29">
        <v>0</v>
      </c>
      <c r="E71" s="29">
        <v>45222</v>
      </c>
      <c r="F71" s="29">
        <v>1717</v>
      </c>
      <c r="G71" s="29"/>
      <c r="H71" s="29">
        <v>218471</v>
      </c>
      <c r="I71" s="29">
        <v>1075247</v>
      </c>
    </row>
    <row r="72" spans="1:9" ht="14.4" x14ac:dyDescent="0.3">
      <c r="A72" s="28">
        <f>DATE(2001,9,1)</f>
        <v>37135</v>
      </c>
      <c r="B72" s="29">
        <v>178013306</v>
      </c>
      <c r="C72" s="29">
        <v>193721</v>
      </c>
      <c r="D72" s="29">
        <v>0</v>
      </c>
      <c r="E72" s="29">
        <v>59479</v>
      </c>
      <c r="F72" s="29">
        <v>10450</v>
      </c>
      <c r="G72" s="29"/>
      <c r="H72" s="29">
        <v>0</v>
      </c>
      <c r="I72" s="29">
        <v>0</v>
      </c>
    </row>
    <row r="73" spans="1:9" ht="14.4" x14ac:dyDescent="0.3">
      <c r="A73" s="28">
        <f>DATE(2001,10,1)</f>
        <v>37165</v>
      </c>
      <c r="B73" s="29">
        <v>188452400</v>
      </c>
      <c r="C73" s="29">
        <v>133875</v>
      </c>
      <c r="D73" s="29">
        <v>0</v>
      </c>
      <c r="E73" s="29">
        <v>52957</v>
      </c>
      <c r="F73" s="29">
        <v>1052</v>
      </c>
      <c r="G73" s="29"/>
      <c r="H73" s="29">
        <v>715392</v>
      </c>
      <c r="I73" s="29">
        <v>126162</v>
      </c>
    </row>
    <row r="74" spans="1:9" ht="14.4" x14ac:dyDescent="0.3">
      <c r="A74" s="28">
        <f>DATE(2001,11,1)</f>
        <v>37196</v>
      </c>
      <c r="B74" s="29">
        <v>181929629</v>
      </c>
      <c r="C74" s="29">
        <v>295543</v>
      </c>
      <c r="D74" s="29">
        <v>0</v>
      </c>
      <c r="E74" s="29">
        <v>49081</v>
      </c>
      <c r="F74" s="29">
        <v>1647</v>
      </c>
      <c r="G74" s="29"/>
      <c r="H74" s="29">
        <v>0</v>
      </c>
      <c r="I74" s="29">
        <v>1566350</v>
      </c>
    </row>
    <row r="75" spans="1:9" ht="14.4" x14ac:dyDescent="0.3">
      <c r="A75" s="28">
        <f>DATE(2001,12,1)</f>
        <v>37226</v>
      </c>
      <c r="B75" s="29">
        <v>182484732</v>
      </c>
      <c r="C75" s="29">
        <v>332637</v>
      </c>
      <c r="D75" s="29">
        <v>0</v>
      </c>
      <c r="E75" s="29">
        <v>32882</v>
      </c>
      <c r="F75" s="29">
        <v>0</v>
      </c>
      <c r="G75" s="29"/>
      <c r="H75" s="29">
        <v>0</v>
      </c>
      <c r="I75" s="29">
        <v>0</v>
      </c>
    </row>
    <row r="76" spans="1:9" ht="15" thickBot="1" x14ac:dyDescent="0.35">
      <c r="A76" s="77"/>
      <c r="B76" s="44"/>
      <c r="C76" s="44"/>
      <c r="D76" s="44"/>
      <c r="E76" s="44"/>
      <c r="F76" s="44"/>
      <c r="G76" s="44"/>
      <c r="H76" s="44"/>
      <c r="I76" s="44"/>
    </row>
    <row r="77" spans="1:9" ht="15" thickBot="1" x14ac:dyDescent="0.35">
      <c r="A77" s="78" t="s">
        <v>2</v>
      </c>
      <c r="B77" s="68">
        <f t="shared" ref="B77:I77" si="1">SUM(B64:B75)</f>
        <v>2201590141</v>
      </c>
      <c r="C77" s="68">
        <f t="shared" si="1"/>
        <v>2454343</v>
      </c>
      <c r="D77" s="68">
        <f t="shared" si="1"/>
        <v>0</v>
      </c>
      <c r="E77" s="68">
        <f t="shared" si="1"/>
        <v>561939</v>
      </c>
      <c r="F77" s="68">
        <f t="shared" si="1"/>
        <v>60793</v>
      </c>
      <c r="G77" s="68"/>
      <c r="H77" s="68">
        <f t="shared" si="1"/>
        <v>1953335</v>
      </c>
      <c r="I77" s="69">
        <f t="shared" si="1"/>
        <v>5396520</v>
      </c>
    </row>
    <row r="78" spans="1:9" ht="24.75" customHeight="1" x14ac:dyDescent="0.3">
      <c r="A78" s="34"/>
      <c r="B78" s="35"/>
      <c r="C78" s="35"/>
      <c r="D78" s="35"/>
      <c r="E78" s="35"/>
      <c r="F78" s="35"/>
      <c r="G78" s="35"/>
      <c r="H78" s="35"/>
      <c r="I78" s="35"/>
    </row>
    <row r="79" spans="1:9" ht="14.4" x14ac:dyDescent="0.3">
      <c r="A79" s="28">
        <f>DATE(2002,1,1)</f>
        <v>37257</v>
      </c>
      <c r="B79" s="29">
        <v>171212781</v>
      </c>
      <c r="C79" s="29">
        <v>333115</v>
      </c>
      <c r="D79" s="29">
        <v>0</v>
      </c>
      <c r="E79" s="29">
        <v>65530</v>
      </c>
      <c r="F79" s="29">
        <v>0</v>
      </c>
      <c r="G79" s="29"/>
      <c r="H79" s="29">
        <v>531259</v>
      </c>
      <c r="I79" s="29">
        <v>1355438</v>
      </c>
    </row>
    <row r="80" spans="1:9" ht="14.4" x14ac:dyDescent="0.3">
      <c r="A80" s="28">
        <f>DATE(2002,2,1)</f>
        <v>37288</v>
      </c>
      <c r="B80" s="29">
        <v>169022009</v>
      </c>
      <c r="C80" s="29">
        <v>286549</v>
      </c>
      <c r="D80" s="29">
        <v>0</v>
      </c>
      <c r="E80" s="29">
        <v>50276</v>
      </c>
      <c r="F80" s="29">
        <v>0</v>
      </c>
      <c r="G80" s="29"/>
      <c r="H80" s="29">
        <v>0</v>
      </c>
      <c r="I80" s="29">
        <v>0</v>
      </c>
    </row>
    <row r="81" spans="1:9" ht="14.4" x14ac:dyDescent="0.3">
      <c r="A81" s="28">
        <f>DATE(2002,3,1)</f>
        <v>37316</v>
      </c>
      <c r="B81" s="29">
        <v>182648851</v>
      </c>
      <c r="C81" s="29">
        <v>302653</v>
      </c>
      <c r="D81" s="29">
        <v>0</v>
      </c>
      <c r="E81" s="29">
        <v>37488</v>
      </c>
      <c r="F81" s="29">
        <v>0</v>
      </c>
      <c r="G81" s="29"/>
      <c r="H81" s="29">
        <v>27646</v>
      </c>
      <c r="I81" s="29">
        <v>498153</v>
      </c>
    </row>
    <row r="82" spans="1:9" ht="14.4" x14ac:dyDescent="0.3">
      <c r="A82" s="28">
        <f>DATE(2002,4,1)</f>
        <v>37347</v>
      </c>
      <c r="B82" s="29">
        <v>179081099</v>
      </c>
      <c r="C82" s="29">
        <v>311586</v>
      </c>
      <c r="D82" s="29">
        <v>0</v>
      </c>
      <c r="E82" s="29">
        <v>49789</v>
      </c>
      <c r="F82" s="29">
        <v>64722</v>
      </c>
      <c r="G82" s="29"/>
      <c r="H82" s="29">
        <v>215344</v>
      </c>
      <c r="I82" s="29">
        <v>0</v>
      </c>
    </row>
    <row r="83" spans="1:9" ht="14.4" x14ac:dyDescent="0.3">
      <c r="A83" s="28">
        <f>DATE(2002,5,1)</f>
        <v>37377</v>
      </c>
      <c r="B83" s="29">
        <v>193690328</v>
      </c>
      <c r="C83" s="29">
        <v>264016</v>
      </c>
      <c r="D83" s="29">
        <v>0</v>
      </c>
      <c r="E83" s="29">
        <v>52539</v>
      </c>
      <c r="F83" s="29">
        <v>72500</v>
      </c>
      <c r="G83" s="29"/>
      <c r="H83" s="29">
        <v>0</v>
      </c>
      <c r="I83" s="29">
        <v>114450</v>
      </c>
    </row>
    <row r="84" spans="1:9" ht="14.4" x14ac:dyDescent="0.3">
      <c r="A84" s="28">
        <f>DATE(2002,6,1)</f>
        <v>37408</v>
      </c>
      <c r="B84" s="29">
        <v>192146273</v>
      </c>
      <c r="C84" s="29">
        <v>197400</v>
      </c>
      <c r="D84" s="29">
        <v>0</v>
      </c>
      <c r="E84" s="29">
        <v>194473</v>
      </c>
      <c r="F84" s="29">
        <v>1492</v>
      </c>
      <c r="G84" s="29"/>
      <c r="H84" s="29">
        <v>89627</v>
      </c>
      <c r="I84" s="29">
        <v>5568</v>
      </c>
    </row>
    <row r="85" spans="1:9" ht="14.4" x14ac:dyDescent="0.3">
      <c r="A85" s="28">
        <f>DATE(2002,7,1)</f>
        <v>37438</v>
      </c>
      <c r="B85" s="29">
        <v>198194358</v>
      </c>
      <c r="C85" s="29">
        <v>243134</v>
      </c>
      <c r="D85" s="29">
        <v>0</v>
      </c>
      <c r="E85" s="29">
        <v>51905</v>
      </c>
      <c r="F85" s="29">
        <v>0</v>
      </c>
      <c r="G85" s="29"/>
      <c r="H85" s="29">
        <v>0</v>
      </c>
      <c r="I85" s="29">
        <v>380712</v>
      </c>
    </row>
    <row r="86" spans="1:9" ht="14.4" x14ac:dyDescent="0.3">
      <c r="A86" s="28">
        <f>DATE(2002,8,1)</f>
        <v>37469</v>
      </c>
      <c r="B86" s="29">
        <v>201101441</v>
      </c>
      <c r="C86" s="29">
        <v>227631</v>
      </c>
      <c r="D86" s="29">
        <v>0</v>
      </c>
      <c r="E86" s="29">
        <v>55945</v>
      </c>
      <c r="F86" s="29">
        <v>0</v>
      </c>
      <c r="G86" s="29"/>
      <c r="H86" s="29">
        <v>243749</v>
      </c>
      <c r="I86" s="29">
        <v>656690</v>
      </c>
    </row>
    <row r="87" spans="1:9" ht="14.4" x14ac:dyDescent="0.3">
      <c r="A87" s="28">
        <f>DATE(2002,9,1)</f>
        <v>37500</v>
      </c>
      <c r="B87" s="29">
        <v>175892028</v>
      </c>
      <c r="C87" s="29">
        <v>133209</v>
      </c>
      <c r="D87" s="29">
        <v>0</v>
      </c>
      <c r="E87" s="29">
        <v>45856</v>
      </c>
      <c r="F87" s="29">
        <v>22757</v>
      </c>
      <c r="G87" s="29"/>
      <c r="H87" s="29">
        <v>0</v>
      </c>
      <c r="I87" s="29">
        <v>0</v>
      </c>
    </row>
    <row r="88" spans="1:9" ht="14.4" x14ac:dyDescent="0.3">
      <c r="A88" s="28">
        <f>DATE(2002,10,1)</f>
        <v>37530</v>
      </c>
      <c r="B88" s="29">
        <v>186097794</v>
      </c>
      <c r="C88" s="29">
        <v>299587</v>
      </c>
      <c r="D88" s="29">
        <v>0</v>
      </c>
      <c r="E88" s="29">
        <v>54621</v>
      </c>
      <c r="F88" s="29">
        <v>0</v>
      </c>
      <c r="G88" s="29"/>
      <c r="H88" s="29">
        <v>52437</v>
      </c>
      <c r="I88" s="29">
        <v>2188714</v>
      </c>
    </row>
    <row r="89" spans="1:9" ht="14.4" x14ac:dyDescent="0.3">
      <c r="A89" s="28">
        <f>DATE(2002,11,1)</f>
        <v>37561</v>
      </c>
      <c r="B89" s="29">
        <v>187783930</v>
      </c>
      <c r="C89" s="29">
        <v>526495</v>
      </c>
      <c r="D89" s="29">
        <v>0</v>
      </c>
      <c r="E89" s="29">
        <v>30198</v>
      </c>
      <c r="F89" s="29">
        <v>0</v>
      </c>
      <c r="G89" s="29"/>
      <c r="H89" s="29">
        <v>169682</v>
      </c>
      <c r="I89" s="29">
        <v>547613</v>
      </c>
    </row>
    <row r="90" spans="1:9" ht="14.4" x14ac:dyDescent="0.3">
      <c r="A90" s="28">
        <f>DATE(2002,12,1)</f>
        <v>37591</v>
      </c>
      <c r="B90" s="29">
        <v>186004477</v>
      </c>
      <c r="C90" s="29">
        <v>536187</v>
      </c>
      <c r="D90" s="29">
        <v>0</v>
      </c>
      <c r="E90" s="29">
        <v>44034</v>
      </c>
      <c r="F90" s="29">
        <v>0</v>
      </c>
      <c r="G90" s="29"/>
      <c r="H90" s="29">
        <v>8800</v>
      </c>
      <c r="I90" s="29">
        <v>438413</v>
      </c>
    </row>
    <row r="91" spans="1:9" ht="15" thickBot="1" x14ac:dyDescent="0.35">
      <c r="A91" s="34"/>
      <c r="B91" s="35"/>
      <c r="C91" s="35"/>
      <c r="D91" s="35"/>
      <c r="E91" s="35"/>
      <c r="F91" s="35"/>
      <c r="G91" s="35"/>
      <c r="H91" s="35"/>
      <c r="I91" s="35"/>
    </row>
    <row r="92" spans="1:9" s="24" customFormat="1" ht="15" thickBot="1" x14ac:dyDescent="0.35">
      <c r="A92" s="78" t="s">
        <v>2</v>
      </c>
      <c r="B92" s="62">
        <f>SUM(B79:B90)</f>
        <v>2222875369</v>
      </c>
      <c r="C92" s="62">
        <f>+SUM(C79:C90)</f>
        <v>3661562</v>
      </c>
      <c r="D92" s="62">
        <f>+SUM(D79:D90)</f>
        <v>0</v>
      </c>
      <c r="E92" s="62">
        <f>+SUM(E79:E90)</f>
        <v>732654</v>
      </c>
      <c r="F92" s="62">
        <f>SUM(F79:F90)</f>
        <v>161471</v>
      </c>
      <c r="G92" s="62"/>
      <c r="H92" s="62">
        <f>SUM(H79:H90)</f>
        <v>1338544</v>
      </c>
      <c r="I92" s="62">
        <f>SUM(I79:I90)</f>
        <v>6185751</v>
      </c>
    </row>
    <row r="93" spans="1:9" ht="14.4" x14ac:dyDescent="0.3">
      <c r="A93" s="34"/>
      <c r="B93" s="35"/>
      <c r="C93" s="35"/>
      <c r="D93" s="35"/>
      <c r="E93" s="35"/>
      <c r="F93" s="35"/>
      <c r="G93" s="35"/>
      <c r="H93" s="35"/>
      <c r="I93" s="35"/>
    </row>
    <row r="94" spans="1:9" ht="14.4" x14ac:dyDescent="0.3">
      <c r="A94" s="28">
        <f>DATE(2003,1,1)</f>
        <v>37622</v>
      </c>
      <c r="B94" s="29">
        <v>174542847</v>
      </c>
      <c r="C94" s="29">
        <v>551175</v>
      </c>
      <c r="D94" s="49">
        <v>0</v>
      </c>
      <c r="E94" s="29">
        <v>53236</v>
      </c>
      <c r="F94" s="29">
        <v>12348</v>
      </c>
      <c r="G94" s="29"/>
      <c r="H94" s="49">
        <v>0</v>
      </c>
      <c r="I94" s="29">
        <v>279498</v>
      </c>
    </row>
    <row r="95" spans="1:9" ht="14.4" x14ac:dyDescent="0.3">
      <c r="A95" s="28">
        <f>DATE(2003,2,1)</f>
        <v>37653</v>
      </c>
      <c r="B95" s="29">
        <v>158702727</v>
      </c>
      <c r="C95" s="29">
        <v>503262</v>
      </c>
      <c r="D95" s="49">
        <v>0</v>
      </c>
      <c r="E95" s="29">
        <v>69471</v>
      </c>
      <c r="F95" s="29">
        <v>12748</v>
      </c>
      <c r="G95" s="29"/>
      <c r="H95" s="29">
        <v>361386</v>
      </c>
      <c r="I95" s="29">
        <v>230490</v>
      </c>
    </row>
    <row r="96" spans="1:9" ht="14.4" x14ac:dyDescent="0.3">
      <c r="A96" s="28">
        <f>DATE(2003,3,1)</f>
        <v>37681</v>
      </c>
      <c r="B96" s="29">
        <v>183623207</v>
      </c>
      <c r="C96" s="29">
        <v>572634</v>
      </c>
      <c r="D96" s="49">
        <v>0</v>
      </c>
      <c r="E96" s="29">
        <v>55060</v>
      </c>
      <c r="F96" s="29">
        <v>20750</v>
      </c>
      <c r="G96" s="29"/>
      <c r="H96" s="29">
        <v>284653</v>
      </c>
      <c r="I96" s="29">
        <v>49656</v>
      </c>
    </row>
    <row r="97" spans="1:9" ht="14.4" x14ac:dyDescent="0.3">
      <c r="A97" s="28">
        <f>DATE(2003,4,1)</f>
        <v>37712</v>
      </c>
      <c r="B97" s="29">
        <v>190678205</v>
      </c>
      <c r="C97" s="29">
        <v>553579</v>
      </c>
      <c r="D97" s="49">
        <v>0</v>
      </c>
      <c r="E97" s="29">
        <v>62011</v>
      </c>
      <c r="F97" s="29">
        <v>17199</v>
      </c>
      <c r="G97" s="29"/>
      <c r="H97" s="49">
        <v>0</v>
      </c>
      <c r="I97" s="49">
        <v>0</v>
      </c>
    </row>
    <row r="98" spans="1:9" ht="14.4" x14ac:dyDescent="0.3">
      <c r="A98" s="28">
        <f>DATE(2003,5,1)</f>
        <v>37742</v>
      </c>
      <c r="B98" s="29">
        <v>196924419</v>
      </c>
      <c r="C98" s="29">
        <v>566055</v>
      </c>
      <c r="D98" s="49">
        <v>0</v>
      </c>
      <c r="E98" s="29">
        <v>49415</v>
      </c>
      <c r="F98" s="49">
        <v>56</v>
      </c>
      <c r="G98" s="49"/>
      <c r="H98" s="29">
        <v>194279</v>
      </c>
      <c r="I98" s="29">
        <v>56382</v>
      </c>
    </row>
    <row r="99" spans="1:9" ht="14.4" x14ac:dyDescent="0.3">
      <c r="A99" s="28">
        <f>DATE(2003,6,1)</f>
        <v>37773</v>
      </c>
      <c r="B99" s="29">
        <v>191099338</v>
      </c>
      <c r="C99" s="29">
        <v>569061</v>
      </c>
      <c r="D99" s="49">
        <v>0</v>
      </c>
      <c r="E99" s="29">
        <v>53995</v>
      </c>
      <c r="F99" s="49">
        <v>0</v>
      </c>
      <c r="G99" s="49"/>
      <c r="H99" s="29">
        <v>61439</v>
      </c>
      <c r="I99" s="29">
        <v>16596</v>
      </c>
    </row>
    <row r="100" spans="1:9" ht="14.4" x14ac:dyDescent="0.3">
      <c r="A100" s="28">
        <f>DATE(2003,7,1)</f>
        <v>37803</v>
      </c>
      <c r="B100" s="29">
        <v>202246989</v>
      </c>
      <c r="C100" s="29">
        <v>621424</v>
      </c>
      <c r="D100" s="49">
        <v>0</v>
      </c>
      <c r="E100" s="29">
        <v>54571</v>
      </c>
      <c r="F100" s="29">
        <v>10155</v>
      </c>
      <c r="G100" s="29"/>
      <c r="H100" s="29">
        <v>51560</v>
      </c>
      <c r="I100" s="29">
        <v>406686</v>
      </c>
    </row>
    <row r="101" spans="1:9" ht="14.4" x14ac:dyDescent="0.3">
      <c r="A101" s="28">
        <f>DATE(2003,8,1)</f>
        <v>37834</v>
      </c>
      <c r="B101" s="29">
        <v>200510846</v>
      </c>
      <c r="C101" s="29">
        <v>618924</v>
      </c>
      <c r="D101" s="49">
        <v>0</v>
      </c>
      <c r="E101" s="29">
        <v>34577</v>
      </c>
      <c r="F101" s="49">
        <v>0</v>
      </c>
      <c r="G101" s="49"/>
      <c r="H101" s="29">
        <v>603772</v>
      </c>
      <c r="I101" s="29">
        <v>277620</v>
      </c>
    </row>
    <row r="102" spans="1:9" ht="14.4" x14ac:dyDescent="0.3">
      <c r="A102" s="28">
        <f>DATE(2003,9,1)</f>
        <v>37865</v>
      </c>
      <c r="B102" s="29">
        <v>187505419</v>
      </c>
      <c r="C102" s="29">
        <v>571016</v>
      </c>
      <c r="D102" s="49">
        <v>0</v>
      </c>
      <c r="E102" s="29">
        <v>55120</v>
      </c>
      <c r="F102" s="49">
        <v>797</v>
      </c>
      <c r="G102" s="49"/>
      <c r="H102" s="29">
        <v>160485</v>
      </c>
      <c r="I102" s="29">
        <v>205713</v>
      </c>
    </row>
    <row r="103" spans="1:9" ht="14.4" x14ac:dyDescent="0.3">
      <c r="A103" s="28">
        <f>DATE(2003,10,1)</f>
        <v>37895</v>
      </c>
      <c r="B103" s="29">
        <v>194682722</v>
      </c>
      <c r="C103" s="29">
        <v>605893</v>
      </c>
      <c r="D103" s="49">
        <v>0</v>
      </c>
      <c r="E103" s="29">
        <v>68329</v>
      </c>
      <c r="F103" s="29">
        <v>2934</v>
      </c>
      <c r="G103" s="29"/>
      <c r="H103" s="49">
        <v>0</v>
      </c>
      <c r="I103" s="29">
        <v>942455</v>
      </c>
    </row>
    <row r="104" spans="1:9" ht="14.4" x14ac:dyDescent="0.3">
      <c r="A104" s="28">
        <f>DATE(2003,11,1)</f>
        <v>37926</v>
      </c>
      <c r="B104" s="29">
        <v>173263953</v>
      </c>
      <c r="C104" s="29">
        <v>549127</v>
      </c>
      <c r="D104" s="49">
        <v>0</v>
      </c>
      <c r="E104" s="29">
        <v>63369</v>
      </c>
      <c r="F104" s="49">
        <v>0</v>
      </c>
      <c r="G104" s="49"/>
      <c r="H104" s="29">
        <v>189938</v>
      </c>
      <c r="I104" s="29">
        <v>1168963</v>
      </c>
    </row>
    <row r="105" spans="1:9" ht="14.4" x14ac:dyDescent="0.3">
      <c r="A105" s="28">
        <f>DATE(2003,12,1)</f>
        <v>37956</v>
      </c>
      <c r="B105" s="29">
        <v>193641892</v>
      </c>
      <c r="C105" s="29">
        <v>590235</v>
      </c>
      <c r="D105" s="49">
        <v>0</v>
      </c>
      <c r="E105" s="29">
        <v>51241</v>
      </c>
      <c r="F105" s="49">
        <v>1409</v>
      </c>
      <c r="G105" s="49"/>
      <c r="H105" s="29">
        <v>29053</v>
      </c>
      <c r="I105" s="29">
        <v>768773</v>
      </c>
    </row>
    <row r="106" spans="1:9" ht="15" thickBot="1" x14ac:dyDescent="0.35">
      <c r="A106" s="34"/>
      <c r="B106" s="35"/>
      <c r="C106" s="35"/>
      <c r="D106" s="35"/>
      <c r="E106" s="35"/>
      <c r="F106" s="35"/>
      <c r="G106" s="35"/>
      <c r="H106" s="35"/>
      <c r="I106" s="35"/>
    </row>
    <row r="107" spans="1:9" ht="15" thickBot="1" x14ac:dyDescent="0.35">
      <c r="A107" s="79" t="s">
        <v>2</v>
      </c>
      <c r="B107" s="54">
        <f t="shared" ref="B107:I107" si="2">SUM(B94:B105)</f>
        <v>2247422564</v>
      </c>
      <c r="C107" s="54">
        <f t="shared" si="2"/>
        <v>6872385</v>
      </c>
      <c r="D107" s="54">
        <f t="shared" si="2"/>
        <v>0</v>
      </c>
      <c r="E107" s="54">
        <f t="shared" si="2"/>
        <v>670395</v>
      </c>
      <c r="F107" s="54">
        <f t="shared" si="2"/>
        <v>78396</v>
      </c>
      <c r="G107" s="54"/>
      <c r="H107" s="54">
        <f t="shared" si="2"/>
        <v>1936565</v>
      </c>
      <c r="I107" s="55">
        <f t="shared" si="2"/>
        <v>4402832</v>
      </c>
    </row>
    <row r="108" spans="1:9" ht="14.4" x14ac:dyDescent="0.3">
      <c r="A108" s="34"/>
      <c r="B108" s="35"/>
      <c r="C108" s="35"/>
      <c r="D108" s="35"/>
      <c r="E108" s="35"/>
      <c r="F108" s="35"/>
      <c r="G108" s="35"/>
      <c r="H108" s="35"/>
      <c r="I108" s="35"/>
    </row>
    <row r="109" spans="1:9" ht="14.4" x14ac:dyDescent="0.3">
      <c r="A109" s="28">
        <f>DATE(2004,1,1)</f>
        <v>37987</v>
      </c>
      <c r="B109" s="57">
        <v>176423982</v>
      </c>
      <c r="C109" s="57">
        <v>608841</v>
      </c>
      <c r="D109" s="80">
        <v>0</v>
      </c>
      <c r="E109" s="57">
        <v>68630</v>
      </c>
      <c r="F109" s="57">
        <v>4896</v>
      </c>
      <c r="G109" s="81">
        <v>5248</v>
      </c>
      <c r="H109" s="57">
        <v>138750</v>
      </c>
      <c r="I109" s="57">
        <v>416312</v>
      </c>
    </row>
    <row r="110" spans="1:9" ht="14.4" x14ac:dyDescent="0.3">
      <c r="A110" s="28">
        <f>DATE(2004,2,1)</f>
        <v>38018</v>
      </c>
      <c r="B110" s="57">
        <v>172731639</v>
      </c>
      <c r="C110" s="57">
        <v>618228</v>
      </c>
      <c r="D110" s="80">
        <v>0</v>
      </c>
      <c r="E110" s="57">
        <v>56514</v>
      </c>
      <c r="F110" s="80">
        <v>0</v>
      </c>
      <c r="G110" s="81">
        <v>5366</v>
      </c>
      <c r="H110" s="57">
        <v>114321</v>
      </c>
      <c r="I110" s="57">
        <v>102827</v>
      </c>
    </row>
    <row r="111" spans="1:9" ht="14.4" x14ac:dyDescent="0.3">
      <c r="A111" s="28">
        <f>DATE(2004,3,1)</f>
        <v>38047</v>
      </c>
      <c r="B111" s="57">
        <v>193297367</v>
      </c>
      <c r="C111" s="57">
        <v>663705</v>
      </c>
      <c r="D111" s="80">
        <v>0</v>
      </c>
      <c r="E111" s="57">
        <v>60846</v>
      </c>
      <c r="F111" s="57">
        <v>16822</v>
      </c>
      <c r="G111" s="81">
        <v>11182</v>
      </c>
      <c r="H111" s="57">
        <v>160396</v>
      </c>
      <c r="I111" s="57">
        <v>11648</v>
      </c>
    </row>
    <row r="112" spans="1:9" ht="14.4" x14ac:dyDescent="0.3">
      <c r="A112" s="28">
        <f>DATE(2004,4,1)</f>
        <v>38078</v>
      </c>
      <c r="B112" s="57">
        <v>194692969</v>
      </c>
      <c r="C112" s="57">
        <v>676865</v>
      </c>
      <c r="D112" s="80">
        <v>0</v>
      </c>
      <c r="E112" s="57">
        <v>63254</v>
      </c>
      <c r="F112" s="57">
        <v>15345</v>
      </c>
      <c r="G112" s="81">
        <v>12575</v>
      </c>
      <c r="H112" s="57">
        <v>297560</v>
      </c>
      <c r="I112" s="57">
        <v>35684</v>
      </c>
    </row>
    <row r="113" spans="1:9" ht="14.4" x14ac:dyDescent="0.3">
      <c r="A113" s="28">
        <f>DATE(2004,5,1)</f>
        <v>38108</v>
      </c>
      <c r="B113" s="57">
        <v>197378985</v>
      </c>
      <c r="C113" s="57">
        <v>598886</v>
      </c>
      <c r="D113" s="80">
        <v>0</v>
      </c>
      <c r="E113" s="57">
        <v>81864</v>
      </c>
      <c r="F113" s="80">
        <v>0</v>
      </c>
      <c r="G113" s="81">
        <v>15464</v>
      </c>
      <c r="H113" s="80">
        <v>0</v>
      </c>
      <c r="I113" s="80">
        <v>0</v>
      </c>
    </row>
    <row r="114" spans="1:9" ht="14.4" x14ac:dyDescent="0.3">
      <c r="A114" s="28">
        <f>DATE(2004,6,1)</f>
        <v>38139</v>
      </c>
      <c r="B114" s="57">
        <v>216325209</v>
      </c>
      <c r="C114" s="57">
        <v>589545</v>
      </c>
      <c r="D114" s="80">
        <v>0</v>
      </c>
      <c r="E114" s="57">
        <v>44792</v>
      </c>
      <c r="F114" s="80">
        <v>0</v>
      </c>
      <c r="G114" s="81">
        <v>15598</v>
      </c>
      <c r="H114" s="57">
        <v>373240</v>
      </c>
      <c r="I114" s="57">
        <v>31745</v>
      </c>
    </row>
    <row r="115" spans="1:9" ht="14.4" x14ac:dyDescent="0.3">
      <c r="A115" s="28">
        <f>DATE(2004,7,1)</f>
        <v>38169</v>
      </c>
      <c r="B115" s="57">
        <v>201519611</v>
      </c>
      <c r="C115" s="57">
        <v>626741</v>
      </c>
      <c r="D115" s="80">
        <v>0</v>
      </c>
      <c r="E115" s="57">
        <v>135805</v>
      </c>
      <c r="F115" s="57">
        <v>2255</v>
      </c>
      <c r="G115" s="81">
        <v>12876</v>
      </c>
      <c r="H115" s="57">
        <v>233103</v>
      </c>
      <c r="I115" s="57">
        <v>383320</v>
      </c>
    </row>
    <row r="116" spans="1:9" ht="14.4" x14ac:dyDescent="0.3">
      <c r="A116" s="28">
        <f>DATE(2004,8,1)</f>
        <v>38200</v>
      </c>
      <c r="B116" s="57">
        <v>200112209</v>
      </c>
      <c r="C116" s="57">
        <v>6044952</v>
      </c>
      <c r="D116" s="80">
        <v>0</v>
      </c>
      <c r="E116" s="57">
        <v>87440</v>
      </c>
      <c r="F116" s="80">
        <v>0</v>
      </c>
      <c r="G116" s="81">
        <v>19085</v>
      </c>
      <c r="H116" s="57">
        <v>113584</v>
      </c>
      <c r="I116" s="57">
        <v>432775</v>
      </c>
    </row>
    <row r="117" spans="1:9" ht="14.4" x14ac:dyDescent="0.3">
      <c r="A117" s="28">
        <f>DATE(2004,9,1)</f>
        <v>38231</v>
      </c>
      <c r="B117" s="82">
        <v>187973580</v>
      </c>
      <c r="C117" s="82">
        <v>4443404</v>
      </c>
      <c r="D117" s="80">
        <v>0</v>
      </c>
      <c r="E117" s="82">
        <v>37728</v>
      </c>
      <c r="F117" s="82">
        <v>4013</v>
      </c>
      <c r="G117" s="83">
        <v>17844</v>
      </c>
      <c r="H117" s="80">
        <v>0</v>
      </c>
      <c r="I117" s="82">
        <v>59788</v>
      </c>
    </row>
    <row r="118" spans="1:9" ht="14.4" x14ac:dyDescent="0.3">
      <c r="A118" s="28">
        <f>DATE(2004,10,1)</f>
        <v>38261</v>
      </c>
      <c r="B118" s="82">
        <v>164305616</v>
      </c>
      <c r="C118" s="82">
        <v>5342578</v>
      </c>
      <c r="D118" s="80">
        <v>0</v>
      </c>
      <c r="E118" s="82">
        <v>69153</v>
      </c>
      <c r="F118" s="84">
        <v>0</v>
      </c>
      <c r="G118" s="81">
        <v>10160</v>
      </c>
      <c r="H118" s="80">
        <v>0</v>
      </c>
      <c r="I118" s="57">
        <v>1588965</v>
      </c>
    </row>
    <row r="119" spans="1:9" ht="14.4" x14ac:dyDescent="0.3">
      <c r="A119" s="28">
        <f>DATE(2004,11,1)</f>
        <v>38292</v>
      </c>
      <c r="B119" s="57">
        <v>180430723</v>
      </c>
      <c r="C119" s="57">
        <v>4801005</v>
      </c>
      <c r="D119" s="80">
        <v>0</v>
      </c>
      <c r="E119" s="57">
        <v>69896</v>
      </c>
      <c r="F119" s="80">
        <v>708</v>
      </c>
      <c r="G119" s="81">
        <v>9874</v>
      </c>
      <c r="H119" s="57">
        <v>124363</v>
      </c>
      <c r="I119" s="57">
        <v>539828</v>
      </c>
    </row>
    <row r="120" spans="1:9" ht="14.4" x14ac:dyDescent="0.3">
      <c r="A120" s="28">
        <f>DATE(2004,12,1)</f>
        <v>38322</v>
      </c>
      <c r="B120" s="57">
        <v>194515171</v>
      </c>
      <c r="C120" s="57">
        <v>1665638</v>
      </c>
      <c r="D120" s="80">
        <v>0</v>
      </c>
      <c r="E120" s="57">
        <v>62243</v>
      </c>
      <c r="F120" s="80">
        <v>0</v>
      </c>
      <c r="G120" s="81">
        <v>13415</v>
      </c>
      <c r="H120" s="57">
        <v>66776</v>
      </c>
      <c r="I120" s="57">
        <v>312353</v>
      </c>
    </row>
    <row r="121" spans="1:9" ht="15" thickBot="1" x14ac:dyDescent="0.35">
      <c r="A121" s="85"/>
      <c r="B121" s="86"/>
      <c r="C121" s="86"/>
      <c r="D121" s="86"/>
      <c r="E121" s="86"/>
      <c r="F121" s="86"/>
      <c r="G121" s="87"/>
      <c r="H121" s="86"/>
      <c r="I121" s="86"/>
    </row>
    <row r="122" spans="1:9" ht="15" thickBot="1" x14ac:dyDescent="0.35">
      <c r="A122" s="78" t="s">
        <v>2</v>
      </c>
      <c r="B122" s="88">
        <f t="shared" ref="B122:I122" si="3">SUM(B109:B120)</f>
        <v>2279707061</v>
      </c>
      <c r="C122" s="88">
        <f t="shared" si="3"/>
        <v>26680388</v>
      </c>
      <c r="D122" s="89">
        <f t="shared" si="3"/>
        <v>0</v>
      </c>
      <c r="E122" s="88">
        <f t="shared" si="3"/>
        <v>838165</v>
      </c>
      <c r="F122" s="88">
        <f t="shared" si="3"/>
        <v>44039</v>
      </c>
      <c r="G122" s="90">
        <f t="shared" si="3"/>
        <v>148687</v>
      </c>
      <c r="H122" s="88">
        <f t="shared" si="3"/>
        <v>1622093</v>
      </c>
      <c r="I122" s="91">
        <f t="shared" si="3"/>
        <v>3915245</v>
      </c>
    </row>
    <row r="123" spans="1:9" ht="14.4" x14ac:dyDescent="0.3">
      <c r="A123" s="34"/>
      <c r="B123" s="35"/>
      <c r="C123" s="35"/>
      <c r="D123" s="35"/>
      <c r="E123" s="35"/>
      <c r="F123" s="35"/>
      <c r="G123" s="35"/>
      <c r="H123" s="35"/>
      <c r="I123" s="35"/>
    </row>
    <row r="124" spans="1:9" ht="14.4" x14ac:dyDescent="0.3">
      <c r="A124" s="28">
        <f>DATE(2005,1,1)</f>
        <v>38353</v>
      </c>
      <c r="B124" s="57">
        <v>169747174</v>
      </c>
      <c r="C124" s="57">
        <v>5511507</v>
      </c>
      <c r="D124" s="80">
        <v>0</v>
      </c>
      <c r="E124" s="57">
        <v>72786</v>
      </c>
      <c r="F124" s="57">
        <v>4663</v>
      </c>
      <c r="G124" s="81">
        <v>6512</v>
      </c>
      <c r="H124" s="57">
        <v>0</v>
      </c>
      <c r="I124" s="57">
        <v>378209</v>
      </c>
    </row>
    <row r="125" spans="1:9" ht="14.4" x14ac:dyDescent="0.3">
      <c r="A125" s="28">
        <f>DATE(2005,2,1)</f>
        <v>38384</v>
      </c>
      <c r="B125" s="57">
        <v>166747266</v>
      </c>
      <c r="C125" s="57">
        <v>1567264</v>
      </c>
      <c r="D125" s="80">
        <v>0</v>
      </c>
      <c r="E125" s="57">
        <v>41257</v>
      </c>
      <c r="F125" s="80">
        <v>0</v>
      </c>
      <c r="G125" s="81">
        <v>7775</v>
      </c>
      <c r="H125" s="57">
        <v>574513</v>
      </c>
      <c r="I125" s="57">
        <v>172032</v>
      </c>
    </row>
    <row r="126" spans="1:9" ht="14.4" x14ac:dyDescent="0.3">
      <c r="A126" s="28">
        <f>DATE(2005,3,1)</f>
        <v>38412</v>
      </c>
      <c r="B126" s="57">
        <v>175847601</v>
      </c>
      <c r="C126" s="57">
        <v>4598090</v>
      </c>
      <c r="D126" s="80">
        <v>0</v>
      </c>
      <c r="E126" s="57">
        <v>58304</v>
      </c>
      <c r="F126" s="57">
        <v>16341</v>
      </c>
      <c r="G126" s="81">
        <v>16254</v>
      </c>
      <c r="H126" s="57">
        <v>185</v>
      </c>
      <c r="I126" s="57">
        <v>265976</v>
      </c>
    </row>
    <row r="127" spans="1:9" ht="14.4" x14ac:dyDescent="0.3">
      <c r="A127" s="28">
        <f>DATE(2005,4,1)</f>
        <v>38443</v>
      </c>
      <c r="B127" s="57">
        <v>186858943</v>
      </c>
      <c r="C127" s="57">
        <v>7096520</v>
      </c>
      <c r="D127" s="80">
        <v>0</v>
      </c>
      <c r="E127" s="57">
        <v>46528</v>
      </c>
      <c r="F127" s="57">
        <v>7768</v>
      </c>
      <c r="G127" s="81">
        <v>12728</v>
      </c>
      <c r="H127" s="57">
        <v>0</v>
      </c>
      <c r="I127" s="57">
        <v>45292</v>
      </c>
    </row>
    <row r="128" spans="1:9" ht="14.4" x14ac:dyDescent="0.3">
      <c r="A128" s="28">
        <f>DATE(2005,5,1)</f>
        <v>38473</v>
      </c>
      <c r="B128" s="57">
        <v>200181055</v>
      </c>
      <c r="C128" s="57">
        <v>7447041</v>
      </c>
      <c r="D128" s="80">
        <v>0</v>
      </c>
      <c r="E128" s="57">
        <v>58095</v>
      </c>
      <c r="F128" s="57">
        <v>9967</v>
      </c>
      <c r="G128" s="81">
        <v>22793</v>
      </c>
      <c r="H128" s="80">
        <v>0</v>
      </c>
      <c r="I128" s="57">
        <v>0</v>
      </c>
    </row>
    <row r="129" spans="1:9" ht="14.4" x14ac:dyDescent="0.3">
      <c r="A129" s="28">
        <f>DATE(2005,6,1)</f>
        <v>38504</v>
      </c>
      <c r="B129" s="57">
        <v>194596902</v>
      </c>
      <c r="C129" s="92" t="s">
        <v>153</v>
      </c>
      <c r="D129" s="80">
        <v>0</v>
      </c>
      <c r="E129" s="57">
        <v>89296</v>
      </c>
      <c r="F129" s="57">
        <v>9962</v>
      </c>
      <c r="G129" s="81">
        <v>19848</v>
      </c>
      <c r="H129" s="57">
        <v>0</v>
      </c>
      <c r="I129" s="57">
        <v>0</v>
      </c>
    </row>
    <row r="130" spans="1:9" ht="14.4" x14ac:dyDescent="0.3">
      <c r="A130" s="28">
        <f>DATE(2005,7,1)</f>
        <v>38534</v>
      </c>
      <c r="B130" s="57">
        <v>198204732</v>
      </c>
      <c r="C130" s="57">
        <v>7153360</v>
      </c>
      <c r="D130" s="80">
        <v>0</v>
      </c>
      <c r="E130" s="57">
        <v>70744</v>
      </c>
      <c r="F130" s="57">
        <v>3695</v>
      </c>
      <c r="G130" s="81">
        <v>13936</v>
      </c>
      <c r="H130" s="57">
        <v>679</v>
      </c>
      <c r="I130" s="57">
        <v>412765</v>
      </c>
    </row>
    <row r="131" spans="1:9" ht="14.4" x14ac:dyDescent="0.3">
      <c r="A131" s="28">
        <f>DATE(2005,8,1)</f>
        <v>38565</v>
      </c>
      <c r="B131" s="57">
        <v>189332399</v>
      </c>
      <c r="C131" s="57">
        <v>7433281</v>
      </c>
      <c r="D131" s="80">
        <v>0</v>
      </c>
      <c r="E131" s="57">
        <v>61302</v>
      </c>
      <c r="F131" s="57">
        <v>3736</v>
      </c>
      <c r="G131" s="81">
        <v>21757</v>
      </c>
      <c r="H131" s="57">
        <v>174447</v>
      </c>
      <c r="I131" s="57">
        <v>0</v>
      </c>
    </row>
    <row r="132" spans="1:9" ht="14.4" x14ac:dyDescent="0.3">
      <c r="A132" s="28">
        <f>DATE(2005,9,1)</f>
        <v>38596</v>
      </c>
      <c r="B132" s="82">
        <v>172675587</v>
      </c>
      <c r="C132" s="82">
        <v>6263380</v>
      </c>
      <c r="D132" s="80">
        <v>0</v>
      </c>
      <c r="E132" s="82">
        <v>77254</v>
      </c>
      <c r="F132" s="93">
        <v>0</v>
      </c>
      <c r="G132" s="83">
        <v>20266</v>
      </c>
      <c r="H132" s="80">
        <v>0</v>
      </c>
      <c r="I132" s="82">
        <v>270250</v>
      </c>
    </row>
    <row r="133" spans="1:9" ht="14.4" x14ac:dyDescent="0.3">
      <c r="A133" s="28">
        <f>DATE(2005,10,1)</f>
        <v>38626</v>
      </c>
      <c r="B133" s="82">
        <v>180241488</v>
      </c>
      <c r="C133" s="82">
        <v>6801185</v>
      </c>
      <c r="D133" s="80">
        <v>0</v>
      </c>
      <c r="E133" s="82">
        <v>51175</v>
      </c>
      <c r="F133" s="84">
        <v>7994</v>
      </c>
      <c r="G133" s="81">
        <v>9765</v>
      </c>
      <c r="H133" s="57">
        <v>98123</v>
      </c>
      <c r="I133" s="57">
        <v>1316400</v>
      </c>
    </row>
    <row r="134" spans="1:9" ht="14.4" x14ac:dyDescent="0.3">
      <c r="A134" s="28">
        <f>DATE(2005,11,1)</f>
        <v>38657</v>
      </c>
      <c r="B134" s="57">
        <v>181091169</v>
      </c>
      <c r="C134" s="57">
        <v>6240430</v>
      </c>
      <c r="D134" s="57">
        <v>2023</v>
      </c>
      <c r="E134" s="57">
        <v>45178</v>
      </c>
      <c r="F134" s="80">
        <v>0</v>
      </c>
      <c r="G134" s="81">
        <v>10577</v>
      </c>
      <c r="H134" s="57">
        <v>112554</v>
      </c>
      <c r="I134" s="57">
        <v>727938</v>
      </c>
    </row>
    <row r="135" spans="1:9" ht="14.4" x14ac:dyDescent="0.3">
      <c r="A135" s="28">
        <f>DATE(2005,12,1)</f>
        <v>38687</v>
      </c>
      <c r="B135" s="57">
        <v>184251679</v>
      </c>
      <c r="C135" s="57">
        <v>6406196</v>
      </c>
      <c r="D135" s="80">
        <v>0</v>
      </c>
      <c r="E135" s="57">
        <v>43606</v>
      </c>
      <c r="F135" s="80">
        <v>0</v>
      </c>
      <c r="G135" s="81">
        <v>12189</v>
      </c>
      <c r="H135" s="80">
        <v>0</v>
      </c>
      <c r="I135" s="80">
        <v>0</v>
      </c>
    </row>
    <row r="136" spans="1:9" ht="15" thickBot="1" x14ac:dyDescent="0.35">
      <c r="A136" s="85"/>
      <c r="B136" s="86" t="s">
        <v>154</v>
      </c>
      <c r="C136" s="86"/>
      <c r="D136" s="94"/>
      <c r="E136" s="86"/>
      <c r="F136" s="86">
        <v>378</v>
      </c>
      <c r="G136" s="87"/>
      <c r="H136" s="58">
        <v>33987</v>
      </c>
      <c r="I136" s="86"/>
    </row>
    <row r="137" spans="1:9" ht="15" thickBot="1" x14ac:dyDescent="0.35">
      <c r="A137" s="78" t="s">
        <v>2</v>
      </c>
      <c r="B137" s="88">
        <f t="shared" ref="B137:I137" si="4">SUM(B124:B135)</f>
        <v>2199775995</v>
      </c>
      <c r="C137" s="88">
        <f t="shared" si="4"/>
        <v>66518254</v>
      </c>
      <c r="D137" s="89">
        <f>SUM(D124:D136)</f>
        <v>2023</v>
      </c>
      <c r="E137" s="88">
        <f t="shared" si="4"/>
        <v>715525</v>
      </c>
      <c r="F137" s="88">
        <f t="shared" si="4"/>
        <v>64126</v>
      </c>
      <c r="G137" s="90">
        <f t="shared" si="4"/>
        <v>174400</v>
      </c>
      <c r="H137" s="88">
        <f>SUM(H124:H136)</f>
        <v>994488</v>
      </c>
      <c r="I137" s="91">
        <f t="shared" si="4"/>
        <v>3588862</v>
      </c>
    </row>
    <row r="138" spans="1:9" ht="24.9" customHeight="1" x14ac:dyDescent="0.3">
      <c r="A138" s="34"/>
      <c r="B138" s="35"/>
      <c r="C138" s="35"/>
      <c r="D138" s="35"/>
      <c r="E138" s="35"/>
      <c r="F138" s="35"/>
      <c r="G138" s="35"/>
      <c r="H138" s="35"/>
      <c r="I138" s="35"/>
    </row>
    <row r="139" spans="1:9" ht="14.4" x14ac:dyDescent="0.3">
      <c r="A139" s="28">
        <f>DATE(2006,1,1)</f>
        <v>38718</v>
      </c>
      <c r="B139" s="82">
        <v>169223765</v>
      </c>
      <c r="C139" s="82">
        <v>7658113</v>
      </c>
      <c r="D139" s="80">
        <v>0</v>
      </c>
      <c r="E139" s="82">
        <v>54743</v>
      </c>
      <c r="F139" s="57">
        <v>3940</v>
      </c>
      <c r="G139" s="57">
        <v>11197</v>
      </c>
      <c r="H139" s="82">
        <v>33896</v>
      </c>
      <c r="I139" s="57">
        <v>503814</v>
      </c>
    </row>
    <row r="140" spans="1:9" ht="14.4" x14ac:dyDescent="0.3">
      <c r="A140" s="28">
        <f>DATE(2006,2,1)</f>
        <v>38749</v>
      </c>
      <c r="B140" s="57">
        <v>164908652</v>
      </c>
      <c r="C140" s="57">
        <v>5138819</v>
      </c>
      <c r="D140" s="80">
        <v>0</v>
      </c>
      <c r="E140" s="57">
        <v>50725</v>
      </c>
      <c r="F140" s="57">
        <v>7219</v>
      </c>
      <c r="G140" s="57">
        <v>11650</v>
      </c>
      <c r="H140" s="57">
        <v>350759</v>
      </c>
      <c r="I140" s="80">
        <v>0</v>
      </c>
    </row>
    <row r="141" spans="1:9" ht="14.4" x14ac:dyDescent="0.3">
      <c r="A141" s="28">
        <f>DATE(2006,3,1)</f>
        <v>38777</v>
      </c>
      <c r="B141" s="57">
        <v>189942039</v>
      </c>
      <c r="C141" s="57">
        <v>5569981</v>
      </c>
      <c r="D141" s="80">
        <v>0</v>
      </c>
      <c r="E141" s="57">
        <v>48916</v>
      </c>
      <c r="F141" s="57">
        <v>7390</v>
      </c>
      <c r="G141" s="57">
        <v>14265</v>
      </c>
      <c r="H141" s="57">
        <v>165650</v>
      </c>
      <c r="I141" s="80">
        <v>0</v>
      </c>
    </row>
    <row r="142" spans="1:9" ht="14.4" x14ac:dyDescent="0.3">
      <c r="A142" s="28">
        <f>DATE(2006,4,1)</f>
        <v>38808</v>
      </c>
      <c r="B142" s="57">
        <v>188635199</v>
      </c>
      <c r="C142" s="57">
        <v>5611787</v>
      </c>
      <c r="D142" s="80">
        <v>0</v>
      </c>
      <c r="E142" s="57">
        <v>29844</v>
      </c>
      <c r="F142" s="57">
        <v>7905</v>
      </c>
      <c r="G142" s="57">
        <v>22135</v>
      </c>
      <c r="H142" s="57">
        <v>314398</v>
      </c>
      <c r="I142" s="57">
        <v>23491</v>
      </c>
    </row>
    <row r="143" spans="1:9" ht="14.4" x14ac:dyDescent="0.3">
      <c r="A143" s="28">
        <f>DATE(2006,5,1)</f>
        <v>38838</v>
      </c>
      <c r="B143" s="57">
        <v>194616326</v>
      </c>
      <c r="C143" s="57">
        <v>6177943</v>
      </c>
      <c r="D143" s="80">
        <v>0</v>
      </c>
      <c r="E143" s="57">
        <v>32940</v>
      </c>
      <c r="F143" s="57">
        <v>1099</v>
      </c>
      <c r="G143" s="57">
        <v>21833</v>
      </c>
      <c r="H143" s="57">
        <v>169689</v>
      </c>
      <c r="I143" s="80">
        <v>0</v>
      </c>
    </row>
    <row r="144" spans="1:9" ht="14.4" x14ac:dyDescent="0.3">
      <c r="A144" s="28">
        <f>DATE(2006,6,1)</f>
        <v>38869</v>
      </c>
      <c r="B144" s="57">
        <v>190030423</v>
      </c>
      <c r="C144" s="57">
        <v>5806922</v>
      </c>
      <c r="D144" s="57">
        <v>7906</v>
      </c>
      <c r="E144" s="57">
        <v>50002</v>
      </c>
      <c r="F144" s="57">
        <v>3185</v>
      </c>
      <c r="G144" s="57">
        <v>27025</v>
      </c>
      <c r="H144" s="57">
        <v>67399</v>
      </c>
      <c r="I144" s="80">
        <v>0</v>
      </c>
    </row>
    <row r="145" spans="1:9" ht="14.4" x14ac:dyDescent="0.3">
      <c r="A145" s="28">
        <f>DATE(2006,7,1)</f>
        <v>38899</v>
      </c>
      <c r="B145" s="57">
        <v>191445952</v>
      </c>
      <c r="C145" s="57">
        <v>5754113</v>
      </c>
      <c r="D145" s="80">
        <v>0</v>
      </c>
      <c r="E145" s="57">
        <v>68332</v>
      </c>
      <c r="F145" s="57">
        <v>0</v>
      </c>
      <c r="G145" s="57">
        <v>19833</v>
      </c>
      <c r="H145" s="57">
        <v>89106</v>
      </c>
      <c r="I145" s="57">
        <v>396185</v>
      </c>
    </row>
    <row r="146" spans="1:9" ht="14.4" x14ac:dyDescent="0.3">
      <c r="A146" s="28">
        <f>DATE(2006,8,1)</f>
        <v>38930</v>
      </c>
      <c r="B146" s="57">
        <v>199256889</v>
      </c>
      <c r="C146" s="57">
        <v>6286595</v>
      </c>
      <c r="D146" s="80">
        <v>0</v>
      </c>
      <c r="E146" s="57">
        <v>70118</v>
      </c>
      <c r="F146" s="80">
        <v>0</v>
      </c>
      <c r="G146" s="57">
        <v>21067</v>
      </c>
      <c r="H146" s="80">
        <v>0</v>
      </c>
      <c r="I146" s="80">
        <v>0</v>
      </c>
    </row>
    <row r="147" spans="1:9" ht="14.4" x14ac:dyDescent="0.3">
      <c r="A147" s="28">
        <f>DATE(2006,9,1)</f>
        <v>38961</v>
      </c>
      <c r="B147" s="57">
        <v>180465572</v>
      </c>
      <c r="C147" s="57">
        <v>6656664</v>
      </c>
      <c r="D147" s="80">
        <v>0</v>
      </c>
      <c r="E147" s="57">
        <v>59337</v>
      </c>
      <c r="F147" s="80">
        <v>0</v>
      </c>
      <c r="G147" s="57">
        <v>20394</v>
      </c>
      <c r="H147" s="57">
        <v>104304</v>
      </c>
      <c r="I147" s="80">
        <v>0</v>
      </c>
    </row>
    <row r="148" spans="1:9" ht="14.4" x14ac:dyDescent="0.3">
      <c r="A148" s="28">
        <f>DATE(2006,10,1)</f>
        <v>38991</v>
      </c>
      <c r="B148" s="57">
        <v>188541776</v>
      </c>
      <c r="C148" s="57">
        <v>6537507</v>
      </c>
      <c r="D148" s="80">
        <v>0</v>
      </c>
      <c r="E148" s="57">
        <v>75280</v>
      </c>
      <c r="F148" s="57">
        <v>1400</v>
      </c>
      <c r="G148" s="57">
        <v>20449</v>
      </c>
      <c r="H148" s="57">
        <v>157791</v>
      </c>
      <c r="I148" s="57">
        <v>1406891</v>
      </c>
    </row>
    <row r="149" spans="1:9" ht="14.4" x14ac:dyDescent="0.3">
      <c r="A149" s="28">
        <f>DATE(2006,11,1)</f>
        <v>39022</v>
      </c>
      <c r="B149" s="57">
        <v>185286520</v>
      </c>
      <c r="C149" s="57">
        <v>5562905</v>
      </c>
      <c r="D149" s="80">
        <v>0</v>
      </c>
      <c r="E149" s="57">
        <v>34527</v>
      </c>
      <c r="F149" s="80">
        <v>0</v>
      </c>
      <c r="G149" s="57">
        <v>13506</v>
      </c>
      <c r="H149" s="57">
        <v>192613</v>
      </c>
      <c r="I149" s="57">
        <v>360132</v>
      </c>
    </row>
    <row r="150" spans="1:9" ht="14.4" x14ac:dyDescent="0.3">
      <c r="A150" s="28">
        <f>DATE(2006,12,1)</f>
        <v>39052</v>
      </c>
      <c r="B150" s="57">
        <v>186371145</v>
      </c>
      <c r="C150" s="57">
        <v>8261314</v>
      </c>
      <c r="D150" s="80">
        <v>0</v>
      </c>
      <c r="E150" s="57">
        <v>59627</v>
      </c>
      <c r="F150" s="57">
        <v>884</v>
      </c>
      <c r="G150" s="57">
        <v>12629</v>
      </c>
      <c r="H150" s="80">
        <v>0</v>
      </c>
      <c r="I150" s="57">
        <v>233297</v>
      </c>
    </row>
    <row r="151" spans="1:9" ht="14.4" x14ac:dyDescent="0.3">
      <c r="A151" s="28"/>
      <c r="B151" s="80"/>
      <c r="C151" s="80"/>
      <c r="D151" s="80"/>
      <c r="E151" s="80"/>
      <c r="F151" s="80"/>
      <c r="G151" s="80"/>
      <c r="H151" s="80"/>
      <c r="I151" s="80"/>
    </row>
    <row r="152" spans="1:9" ht="14.4" x14ac:dyDescent="0.3">
      <c r="A152" s="95" t="s">
        <v>2</v>
      </c>
      <c r="B152" s="57">
        <f>SUM(B139:B150)</f>
        <v>2228724258</v>
      </c>
      <c r="C152" s="57">
        <f t="shared" ref="C152:I152" si="5">SUM(C139:C150)</f>
        <v>75022663</v>
      </c>
      <c r="D152" s="57">
        <f t="shared" si="5"/>
        <v>7906</v>
      </c>
      <c r="E152" s="57">
        <f t="shared" si="5"/>
        <v>634391</v>
      </c>
      <c r="F152" s="57">
        <f t="shared" si="5"/>
        <v>33022</v>
      </c>
      <c r="G152" s="57">
        <f t="shared" si="5"/>
        <v>215983</v>
      </c>
      <c r="H152" s="57">
        <f t="shared" si="5"/>
        <v>1645605</v>
      </c>
      <c r="I152" s="57">
        <f t="shared" si="5"/>
        <v>2923810</v>
      </c>
    </row>
    <row r="153" spans="1:9" ht="24.9" customHeight="1" x14ac:dyDescent="0.3">
      <c r="A153" s="34"/>
      <c r="B153" s="35"/>
      <c r="C153" s="35"/>
      <c r="D153" s="35"/>
      <c r="E153" s="35"/>
      <c r="F153" s="35"/>
      <c r="G153" s="35"/>
      <c r="H153" s="35"/>
      <c r="I153" s="35"/>
    </row>
    <row r="154" spans="1:9" ht="14.4" x14ac:dyDescent="0.3">
      <c r="A154" s="28">
        <f>DATE(2007,1,1)</f>
        <v>39083</v>
      </c>
      <c r="B154" s="57">
        <v>177583834</v>
      </c>
      <c r="C154" s="57">
        <v>6365982</v>
      </c>
      <c r="D154" s="57">
        <v>0</v>
      </c>
      <c r="E154" s="82">
        <v>36328</v>
      </c>
      <c r="F154" s="57">
        <v>700</v>
      </c>
      <c r="G154" s="57">
        <v>14240</v>
      </c>
      <c r="H154" s="82">
        <v>66584</v>
      </c>
      <c r="I154" s="57">
        <v>227875</v>
      </c>
    </row>
    <row r="155" spans="1:9" ht="14.4" x14ac:dyDescent="0.3">
      <c r="A155" s="28">
        <f>DATE(2007,2,1)</f>
        <v>39114</v>
      </c>
      <c r="B155" s="57">
        <v>166320512</v>
      </c>
      <c r="C155" s="57">
        <v>5995204</v>
      </c>
      <c r="D155" s="57">
        <v>6399</v>
      </c>
      <c r="E155" s="57">
        <v>59409</v>
      </c>
      <c r="F155" s="57">
        <v>0</v>
      </c>
      <c r="G155" s="57">
        <v>8000</v>
      </c>
      <c r="H155" s="57">
        <v>226365</v>
      </c>
      <c r="I155" s="57">
        <v>569249</v>
      </c>
    </row>
    <row r="156" spans="1:9" ht="14.4" x14ac:dyDescent="0.3">
      <c r="A156" s="28">
        <f>DATE(2007,3,1)</f>
        <v>39142</v>
      </c>
      <c r="B156" s="57">
        <v>190862924</v>
      </c>
      <c r="C156" s="57">
        <v>6857267</v>
      </c>
      <c r="D156" s="80">
        <v>0</v>
      </c>
      <c r="E156" s="57">
        <v>65615</v>
      </c>
      <c r="F156" s="57">
        <v>14198</v>
      </c>
      <c r="G156" s="57">
        <v>17157</v>
      </c>
      <c r="H156" s="57">
        <v>0</v>
      </c>
      <c r="I156" s="80">
        <v>0</v>
      </c>
    </row>
    <row r="157" spans="1:9" ht="14.4" x14ac:dyDescent="0.3">
      <c r="A157" s="28">
        <f>DATE(2007,4,1)</f>
        <v>39173</v>
      </c>
      <c r="B157" s="57">
        <v>185747873</v>
      </c>
      <c r="C157" s="57">
        <v>6587111</v>
      </c>
      <c r="D157" s="80">
        <v>0</v>
      </c>
      <c r="E157" s="57">
        <v>53950</v>
      </c>
      <c r="F157" s="57">
        <v>0</v>
      </c>
      <c r="G157" s="57">
        <v>15566</v>
      </c>
      <c r="H157" s="57">
        <v>262657</v>
      </c>
      <c r="I157" s="57">
        <v>308874</v>
      </c>
    </row>
    <row r="158" spans="1:9" ht="14.4" x14ac:dyDescent="0.3">
      <c r="A158" s="28">
        <f>DATE(2007,5,1)</f>
        <v>39203</v>
      </c>
      <c r="B158" s="57">
        <v>199697816</v>
      </c>
      <c r="C158" s="57">
        <v>8512546</v>
      </c>
      <c r="D158" s="80">
        <v>0</v>
      </c>
      <c r="E158" s="57">
        <v>80699</v>
      </c>
      <c r="F158" s="57">
        <v>9278</v>
      </c>
      <c r="G158" s="57">
        <v>25698</v>
      </c>
      <c r="H158" s="57">
        <v>170111</v>
      </c>
      <c r="I158" s="57">
        <v>20059</v>
      </c>
    </row>
    <row r="159" spans="1:9" ht="14.4" x14ac:dyDescent="0.3">
      <c r="A159" s="28">
        <f>DATE(2007,6,1)</f>
        <v>39234</v>
      </c>
      <c r="B159" s="57">
        <v>188016349</v>
      </c>
      <c r="C159" s="57">
        <v>7785839</v>
      </c>
      <c r="D159" s="57">
        <v>0</v>
      </c>
      <c r="E159" s="57">
        <v>77127</v>
      </c>
      <c r="F159" s="57">
        <v>0</v>
      </c>
      <c r="G159" s="57">
        <v>20316</v>
      </c>
      <c r="H159" s="57">
        <v>0</v>
      </c>
      <c r="I159" s="80">
        <v>0</v>
      </c>
    </row>
    <row r="160" spans="1:9" ht="14.4" x14ac:dyDescent="0.3">
      <c r="A160" s="28">
        <f>DATE(2007,7,1)</f>
        <v>39264</v>
      </c>
      <c r="B160" s="57">
        <v>198548001</v>
      </c>
      <c r="C160" s="57">
        <v>8123238</v>
      </c>
      <c r="D160" s="80">
        <v>0</v>
      </c>
      <c r="E160" s="57">
        <v>81479</v>
      </c>
      <c r="F160" s="57">
        <v>105</v>
      </c>
      <c r="G160" s="57">
        <v>19507</v>
      </c>
      <c r="H160" s="57">
        <v>74723</v>
      </c>
      <c r="I160" s="57">
        <v>477871</v>
      </c>
    </row>
    <row r="161" spans="1:9" ht="14.4" x14ac:dyDescent="0.3">
      <c r="A161" s="28">
        <f>DATE(2007,8,1)</f>
        <v>39295</v>
      </c>
      <c r="B161" s="57">
        <v>197991014</v>
      </c>
      <c r="C161" s="57">
        <v>9240617</v>
      </c>
      <c r="D161" s="80">
        <v>0</v>
      </c>
      <c r="E161" s="57">
        <v>71351</v>
      </c>
      <c r="F161" s="80">
        <v>0</v>
      </c>
      <c r="G161" s="57">
        <v>26886</v>
      </c>
      <c r="H161" s="57">
        <v>251073</v>
      </c>
      <c r="I161" s="57">
        <v>253745</v>
      </c>
    </row>
    <row r="162" spans="1:9" ht="14.4" x14ac:dyDescent="0.3">
      <c r="A162" s="28">
        <f>DATE(2007,9,1)</f>
        <v>39326</v>
      </c>
      <c r="B162" s="57">
        <v>178753876</v>
      </c>
      <c r="C162" s="57">
        <v>9279269</v>
      </c>
      <c r="D162" s="80">
        <v>0</v>
      </c>
      <c r="E162" s="57">
        <v>44208</v>
      </c>
      <c r="F162" s="80">
        <v>0</v>
      </c>
      <c r="G162" s="57">
        <v>20250</v>
      </c>
      <c r="H162" s="57">
        <v>0</v>
      </c>
      <c r="I162" s="80">
        <v>0</v>
      </c>
    </row>
    <row r="163" spans="1:9" ht="14.4" x14ac:dyDescent="0.3">
      <c r="A163" s="28">
        <f>DATE(2007,10,1)</f>
        <v>39356</v>
      </c>
      <c r="B163" s="57">
        <v>193449100</v>
      </c>
      <c r="C163" s="57">
        <v>10642773</v>
      </c>
      <c r="D163" s="80">
        <v>0</v>
      </c>
      <c r="E163" s="57">
        <v>76737</v>
      </c>
      <c r="F163" s="57">
        <v>0</v>
      </c>
      <c r="G163" s="57">
        <v>19146</v>
      </c>
      <c r="H163" s="57">
        <v>0</v>
      </c>
      <c r="I163" s="57">
        <v>0</v>
      </c>
    </row>
    <row r="164" spans="1:9" ht="14.4" x14ac:dyDescent="0.3">
      <c r="A164" s="28">
        <f>DATE(2007,11,1)</f>
        <v>39387</v>
      </c>
      <c r="B164" s="57">
        <v>163244752</v>
      </c>
      <c r="C164" s="57">
        <v>10653574</v>
      </c>
      <c r="D164" s="80">
        <v>0</v>
      </c>
      <c r="E164" s="57">
        <v>55678</v>
      </c>
      <c r="F164" s="80">
        <v>0</v>
      </c>
      <c r="G164" s="57">
        <v>18397</v>
      </c>
      <c r="H164" s="57">
        <v>0</v>
      </c>
      <c r="I164" s="57">
        <v>1687505</v>
      </c>
    </row>
    <row r="165" spans="1:9" ht="14.4" x14ac:dyDescent="0.3">
      <c r="A165" s="28">
        <f>DATE(2007,12,1)</f>
        <v>39417</v>
      </c>
      <c r="B165" s="57">
        <v>191440534</v>
      </c>
      <c r="C165" s="57">
        <v>10712509</v>
      </c>
      <c r="D165" s="80">
        <v>0</v>
      </c>
      <c r="E165" s="57">
        <v>71899</v>
      </c>
      <c r="F165" s="57">
        <v>899</v>
      </c>
      <c r="G165" s="57">
        <v>9730</v>
      </c>
      <c r="H165" s="80">
        <v>0</v>
      </c>
      <c r="I165" s="57">
        <v>0</v>
      </c>
    </row>
    <row r="166" spans="1:9" ht="14.4" x14ac:dyDescent="0.3">
      <c r="A166" s="28"/>
      <c r="B166" s="80"/>
      <c r="C166" s="80"/>
      <c r="D166" s="80"/>
      <c r="E166" s="80"/>
      <c r="F166" s="80"/>
      <c r="G166" s="80"/>
      <c r="H166" s="80"/>
      <c r="I166" s="80"/>
    </row>
    <row r="167" spans="1:9" ht="14.4" x14ac:dyDescent="0.3">
      <c r="A167" s="95" t="s">
        <v>2</v>
      </c>
      <c r="B167" s="57">
        <f>SUM(B154:B165)</f>
        <v>2231656585</v>
      </c>
      <c r="C167" s="57">
        <f t="shared" ref="C167:I167" si="6">SUM(C154:C165)</f>
        <v>100755929</v>
      </c>
      <c r="D167" s="57">
        <f t="shared" si="6"/>
        <v>6399</v>
      </c>
      <c r="E167" s="57">
        <f t="shared" si="6"/>
        <v>774480</v>
      </c>
      <c r="F167" s="57">
        <f t="shared" si="6"/>
        <v>25180</v>
      </c>
      <c r="G167" s="57">
        <f t="shared" si="6"/>
        <v>214893</v>
      </c>
      <c r="H167" s="57">
        <f t="shared" si="6"/>
        <v>1051513</v>
      </c>
      <c r="I167" s="57">
        <f t="shared" si="6"/>
        <v>3545178</v>
      </c>
    </row>
    <row r="168" spans="1:9" ht="14.4" x14ac:dyDescent="0.3">
      <c r="A168" s="34"/>
      <c r="B168" s="35"/>
      <c r="C168" s="35"/>
      <c r="D168" s="35"/>
      <c r="E168" s="35"/>
      <c r="F168" s="35"/>
      <c r="G168" s="35"/>
      <c r="H168" s="35"/>
      <c r="I168" s="35"/>
    </row>
    <row r="169" spans="1:9" ht="14.4" x14ac:dyDescent="0.3">
      <c r="A169" s="34"/>
      <c r="B169" s="35"/>
      <c r="C169" s="35"/>
      <c r="D169" s="35"/>
      <c r="E169" s="35"/>
      <c r="F169" s="35"/>
      <c r="G169" s="35"/>
      <c r="H169" s="35"/>
      <c r="I169" s="35"/>
    </row>
    <row r="170" spans="1:9" ht="28.2" x14ac:dyDescent="0.3">
      <c r="A170" s="96" t="s">
        <v>107</v>
      </c>
      <c r="B170" s="80" t="s">
        <v>166</v>
      </c>
      <c r="C170" s="80" t="s">
        <v>113</v>
      </c>
      <c r="D170" s="80" t="s">
        <v>115</v>
      </c>
      <c r="E170" s="97" t="s">
        <v>116</v>
      </c>
      <c r="F170" s="27" t="s">
        <v>117</v>
      </c>
      <c r="G170" s="27" t="s">
        <v>145</v>
      </c>
      <c r="H170" s="27" t="s">
        <v>119</v>
      </c>
      <c r="I170" s="27" t="s">
        <v>120</v>
      </c>
    </row>
    <row r="171" spans="1:9" ht="14.4" x14ac:dyDescent="0.3">
      <c r="A171" s="28">
        <f>DATE(2008,1,1)</f>
        <v>39448</v>
      </c>
      <c r="B171" s="82">
        <v>174127607</v>
      </c>
      <c r="C171" s="82">
        <v>14104242</v>
      </c>
      <c r="D171" s="57">
        <v>0</v>
      </c>
      <c r="E171" s="82">
        <v>62160</v>
      </c>
      <c r="F171" s="57">
        <v>0</v>
      </c>
      <c r="G171" s="57">
        <v>18262</v>
      </c>
      <c r="H171" s="82">
        <v>241745</v>
      </c>
      <c r="I171" s="57">
        <v>530061</v>
      </c>
    </row>
    <row r="172" spans="1:9" ht="14.4" x14ac:dyDescent="0.3">
      <c r="A172" s="28">
        <f>DATE(2008,2,1)</f>
        <v>39479</v>
      </c>
      <c r="B172" s="57">
        <v>159909570</v>
      </c>
      <c r="C172" s="57">
        <v>24358400</v>
      </c>
      <c r="D172" s="57">
        <v>0</v>
      </c>
      <c r="E172" s="57">
        <v>74773</v>
      </c>
      <c r="F172" s="57">
        <v>0</v>
      </c>
      <c r="G172" s="57">
        <v>15879</v>
      </c>
      <c r="H172" s="57">
        <v>0</v>
      </c>
      <c r="I172" s="57">
        <v>0</v>
      </c>
    </row>
    <row r="173" spans="1:9" ht="14.4" x14ac:dyDescent="0.3">
      <c r="A173" s="28">
        <f>DATE(2008,3,1)</f>
        <v>39508</v>
      </c>
      <c r="B173" s="57">
        <v>171617717</v>
      </c>
      <c r="C173" s="57">
        <v>26324580</v>
      </c>
      <c r="D173" s="80">
        <v>0</v>
      </c>
      <c r="E173" s="57">
        <v>46509</v>
      </c>
      <c r="F173" s="57">
        <v>0</v>
      </c>
      <c r="G173" s="57">
        <v>15474</v>
      </c>
      <c r="H173" s="57">
        <v>0</v>
      </c>
      <c r="I173" s="80">
        <v>0</v>
      </c>
    </row>
    <row r="174" spans="1:9" ht="14.4" x14ac:dyDescent="0.3">
      <c r="A174" s="28">
        <f>DATE(2008,4,1)</f>
        <v>39539</v>
      </c>
      <c r="B174" s="57">
        <v>178332685</v>
      </c>
      <c r="C174" s="57">
        <v>27696224</v>
      </c>
      <c r="D174" s="80">
        <v>0</v>
      </c>
      <c r="E174" s="57">
        <v>75431</v>
      </c>
      <c r="F174" s="57">
        <v>7724</v>
      </c>
      <c r="G174" s="57">
        <v>25347</v>
      </c>
      <c r="H174" s="57">
        <v>159270</v>
      </c>
      <c r="I174" s="57">
        <v>149201</v>
      </c>
    </row>
    <row r="175" spans="1:9" ht="14.4" x14ac:dyDescent="0.3">
      <c r="A175" s="28">
        <f>DATE(2008,5,1)</f>
        <v>39569</v>
      </c>
      <c r="B175" s="57">
        <v>184093044</v>
      </c>
      <c r="C175" s="57">
        <v>30413561</v>
      </c>
      <c r="D175" s="80">
        <v>0</v>
      </c>
      <c r="E175" s="57">
        <v>65352</v>
      </c>
      <c r="F175" s="57">
        <v>0</v>
      </c>
      <c r="G175" s="57">
        <v>32939</v>
      </c>
      <c r="H175" s="57">
        <v>144096</v>
      </c>
      <c r="I175" s="57">
        <v>55774</v>
      </c>
    </row>
    <row r="176" spans="1:9" ht="14.4" x14ac:dyDescent="0.3">
      <c r="A176" s="28">
        <f>DATE(2008,6,1)</f>
        <v>39600</v>
      </c>
      <c r="B176" s="57">
        <v>180477934</v>
      </c>
      <c r="C176" s="57">
        <v>40310541</v>
      </c>
      <c r="D176" s="57">
        <v>0</v>
      </c>
      <c r="E176" s="57">
        <v>49570</v>
      </c>
      <c r="F176" s="57">
        <v>0</v>
      </c>
      <c r="G176" s="57">
        <v>63788</v>
      </c>
      <c r="H176" s="57">
        <v>0</v>
      </c>
      <c r="I176" s="80">
        <v>500</v>
      </c>
    </row>
    <row r="177" spans="1:9" ht="14.4" x14ac:dyDescent="0.3">
      <c r="A177" s="28">
        <f>DATE(2008,7,1)</f>
        <v>39630</v>
      </c>
      <c r="B177" s="57">
        <v>185803255</v>
      </c>
      <c r="C177" s="57">
        <v>39785745</v>
      </c>
      <c r="D177" s="80">
        <v>0</v>
      </c>
      <c r="E177" s="57">
        <v>80266</v>
      </c>
      <c r="F177" s="57">
        <v>5183</v>
      </c>
      <c r="G177" s="57">
        <v>20605</v>
      </c>
      <c r="H177" s="57">
        <v>173311</v>
      </c>
      <c r="I177" s="57">
        <v>487521</v>
      </c>
    </row>
    <row r="178" spans="1:9" ht="14.4" x14ac:dyDescent="0.3">
      <c r="A178" s="28">
        <f>DATE(2008,8,1)</f>
        <v>39661</v>
      </c>
      <c r="B178" s="57">
        <v>186284634</v>
      </c>
      <c r="C178" s="57">
        <v>41548693</v>
      </c>
      <c r="D178" s="80">
        <v>0</v>
      </c>
      <c r="E178" s="57">
        <v>58654</v>
      </c>
      <c r="F178" s="57">
        <v>1109</v>
      </c>
      <c r="G178" s="57">
        <v>27161</v>
      </c>
      <c r="H178" s="57">
        <v>108728</v>
      </c>
      <c r="I178" s="57">
        <v>11050</v>
      </c>
    </row>
    <row r="179" spans="1:9" ht="14.4" x14ac:dyDescent="0.3">
      <c r="A179" s="28">
        <f>DATE(2008,9,1)</f>
        <v>39692</v>
      </c>
      <c r="B179" s="57">
        <v>172639199</v>
      </c>
      <c r="C179" s="57">
        <v>41253610</v>
      </c>
      <c r="D179" s="80">
        <v>0</v>
      </c>
      <c r="E179" s="57">
        <v>55365</v>
      </c>
      <c r="F179" s="57">
        <v>1072</v>
      </c>
      <c r="G179" s="57">
        <v>26707</v>
      </c>
      <c r="H179" s="57">
        <v>6311</v>
      </c>
      <c r="I179" s="80">
        <v>36419</v>
      </c>
    </row>
    <row r="180" spans="1:9" ht="14.4" x14ac:dyDescent="0.3">
      <c r="A180" s="28">
        <f>DATE(2008,10,1)</f>
        <v>39722</v>
      </c>
      <c r="B180" s="57">
        <v>187869559</v>
      </c>
      <c r="C180" s="57">
        <v>46444175</v>
      </c>
      <c r="D180" s="80">
        <v>0</v>
      </c>
      <c r="E180" s="57">
        <v>80849</v>
      </c>
      <c r="F180" s="57">
        <v>151</v>
      </c>
      <c r="G180" s="57">
        <v>33556</v>
      </c>
      <c r="H180" s="57">
        <v>128666</v>
      </c>
      <c r="I180" s="57">
        <v>1093168</v>
      </c>
    </row>
    <row r="181" spans="1:9" ht="14.4" x14ac:dyDescent="0.3">
      <c r="A181" s="28">
        <f>DATE(2008,11,1)</f>
        <v>39753</v>
      </c>
      <c r="B181" s="57">
        <v>178605473</v>
      </c>
      <c r="C181" s="57">
        <v>47351110</v>
      </c>
      <c r="D181" s="80">
        <v>0</v>
      </c>
      <c r="E181" s="57">
        <v>55283</v>
      </c>
      <c r="F181" s="80">
        <v>149</v>
      </c>
      <c r="G181" s="57">
        <v>29263</v>
      </c>
      <c r="H181" s="57">
        <v>125537</v>
      </c>
      <c r="I181" s="57">
        <v>229387</v>
      </c>
    </row>
    <row r="182" spans="1:9" ht="14.4" x14ac:dyDescent="0.3">
      <c r="A182" s="28">
        <f>DATE(2008,12,1)</f>
        <v>39783</v>
      </c>
      <c r="B182" s="57">
        <v>185841326</v>
      </c>
      <c r="C182" s="57">
        <v>46803080</v>
      </c>
      <c r="D182" s="80">
        <v>0</v>
      </c>
      <c r="E182" s="57">
        <v>80324</v>
      </c>
      <c r="F182" s="57">
        <v>0</v>
      </c>
      <c r="G182" s="57">
        <v>26539</v>
      </c>
      <c r="H182" s="80">
        <v>8614</v>
      </c>
      <c r="I182" s="57">
        <v>339104</v>
      </c>
    </row>
    <row r="183" spans="1:9" ht="14.4" x14ac:dyDescent="0.3">
      <c r="A183" s="28"/>
      <c r="B183" s="80"/>
      <c r="C183" s="80"/>
      <c r="D183" s="80"/>
      <c r="E183" s="80"/>
      <c r="F183" s="80"/>
      <c r="G183" s="80"/>
      <c r="H183" s="80"/>
      <c r="I183" s="80"/>
    </row>
    <row r="184" spans="1:9" ht="14.4" x14ac:dyDescent="0.3">
      <c r="A184" s="95" t="s">
        <v>2</v>
      </c>
      <c r="B184" s="57">
        <f>SUM(B171:B182)</f>
        <v>2145602003</v>
      </c>
      <c r="C184" s="57">
        <f t="shared" ref="C184:I184" si="7">SUM(C171:C182)</f>
        <v>426393961</v>
      </c>
      <c r="D184" s="57">
        <f t="shared" si="7"/>
        <v>0</v>
      </c>
      <c r="E184" s="57">
        <f t="shared" si="7"/>
        <v>784536</v>
      </c>
      <c r="F184" s="57">
        <f t="shared" si="7"/>
        <v>15388</v>
      </c>
      <c r="G184" s="57">
        <f t="shared" si="7"/>
        <v>335520</v>
      </c>
      <c r="H184" s="57">
        <f t="shared" si="7"/>
        <v>1096278</v>
      </c>
      <c r="I184" s="57">
        <f t="shared" si="7"/>
        <v>2932185</v>
      </c>
    </row>
    <row r="185" spans="1:9" ht="14.4" x14ac:dyDescent="0.3">
      <c r="A185" s="34"/>
      <c r="B185" s="35"/>
      <c r="C185" s="35"/>
      <c r="D185" s="35"/>
      <c r="E185" s="35"/>
      <c r="F185" s="35"/>
      <c r="G185" s="35"/>
      <c r="H185" s="35"/>
      <c r="I185" s="35"/>
    </row>
    <row r="186" spans="1:9" ht="14.4" x14ac:dyDescent="0.3">
      <c r="A186" s="34"/>
      <c r="B186" s="35"/>
      <c r="C186" s="35"/>
      <c r="D186" s="35"/>
      <c r="E186" s="35"/>
      <c r="F186" s="35"/>
      <c r="G186" s="35"/>
      <c r="H186" s="35"/>
      <c r="I186" s="35"/>
    </row>
    <row r="187" spans="1:9" ht="14.4" x14ac:dyDescent="0.3">
      <c r="A187" s="34"/>
      <c r="B187" s="35"/>
      <c r="C187" s="35"/>
      <c r="D187" s="35"/>
      <c r="E187" s="35"/>
      <c r="F187" s="35"/>
      <c r="G187" s="35"/>
      <c r="H187" s="35"/>
      <c r="I187" s="35"/>
    </row>
    <row r="188" spans="1:9" ht="28.2" x14ac:dyDescent="0.3">
      <c r="A188" s="96" t="s">
        <v>107</v>
      </c>
      <c r="B188" s="80" t="s">
        <v>166</v>
      </c>
      <c r="C188" s="80" t="s">
        <v>113</v>
      </c>
      <c r="D188" s="80" t="s">
        <v>115</v>
      </c>
      <c r="E188" s="97" t="s">
        <v>116</v>
      </c>
      <c r="F188" s="27" t="s">
        <v>117</v>
      </c>
      <c r="G188" s="27" t="s">
        <v>145</v>
      </c>
      <c r="H188" s="27" t="s">
        <v>119</v>
      </c>
      <c r="I188" s="27" t="s">
        <v>120</v>
      </c>
    </row>
    <row r="189" spans="1:9" ht="14.4" x14ac:dyDescent="0.3">
      <c r="A189" s="28">
        <f>DATE(2009,1,1)</f>
        <v>39814</v>
      </c>
      <c r="B189" s="82">
        <v>171410486</v>
      </c>
      <c r="C189" s="82">
        <v>45796560</v>
      </c>
      <c r="D189" s="57">
        <v>0</v>
      </c>
      <c r="E189" s="82">
        <v>69542</v>
      </c>
      <c r="F189" s="57">
        <v>914</v>
      </c>
      <c r="G189" s="57">
        <v>29451</v>
      </c>
      <c r="H189" s="82">
        <v>129231</v>
      </c>
      <c r="I189" s="57">
        <v>228935</v>
      </c>
    </row>
    <row r="190" spans="1:9" ht="14.4" x14ac:dyDescent="0.3">
      <c r="A190" s="28">
        <f>DATE(2009,2,1)</f>
        <v>39845</v>
      </c>
      <c r="B190" s="57">
        <v>167740306</v>
      </c>
      <c r="C190" s="57">
        <v>45269030</v>
      </c>
      <c r="D190" s="57">
        <v>0</v>
      </c>
      <c r="E190" s="57">
        <v>107464</v>
      </c>
      <c r="F190" s="57">
        <v>5049</v>
      </c>
      <c r="G190" s="57">
        <v>16194</v>
      </c>
      <c r="H190" s="57">
        <v>53735</v>
      </c>
      <c r="I190" s="57">
        <v>246313</v>
      </c>
    </row>
    <row r="191" spans="1:9" ht="14.4" x14ac:dyDescent="0.3">
      <c r="A191" s="28">
        <f>DATE(2009,3,1)</f>
        <v>39873</v>
      </c>
      <c r="B191" s="57">
        <v>185045592</v>
      </c>
      <c r="C191" s="57">
        <v>51291721</v>
      </c>
      <c r="D191" s="80">
        <v>0</v>
      </c>
      <c r="E191" s="57">
        <v>64295</v>
      </c>
      <c r="F191" s="57">
        <v>7233</v>
      </c>
      <c r="G191" s="57">
        <v>34692</v>
      </c>
      <c r="H191" s="57">
        <v>110642</v>
      </c>
      <c r="I191" s="80">
        <v>7138</v>
      </c>
    </row>
    <row r="192" spans="1:9" ht="14.4" x14ac:dyDescent="0.3">
      <c r="A192" s="28">
        <f>DATE(2009,4,1)</f>
        <v>39904</v>
      </c>
      <c r="B192" s="57">
        <v>188119705</v>
      </c>
      <c r="C192" s="57">
        <v>52914607</v>
      </c>
      <c r="D192" s="80">
        <v>0</v>
      </c>
      <c r="E192" s="57">
        <v>55396</v>
      </c>
      <c r="F192" s="57">
        <v>3602</v>
      </c>
      <c r="G192" s="57">
        <v>20046</v>
      </c>
      <c r="H192" s="57">
        <v>98439</v>
      </c>
      <c r="I192" s="57">
        <v>93621</v>
      </c>
    </row>
    <row r="193" spans="1:9" ht="14.4" x14ac:dyDescent="0.3">
      <c r="A193" s="28">
        <f>DATE(2009,5,1)</f>
        <v>39934</v>
      </c>
      <c r="B193" s="57">
        <v>191200349</v>
      </c>
      <c r="C193" s="57">
        <v>54219425</v>
      </c>
      <c r="D193" s="80">
        <v>0</v>
      </c>
      <c r="E193" s="57">
        <v>48514</v>
      </c>
      <c r="F193" s="57">
        <v>277</v>
      </c>
      <c r="G193" s="57">
        <v>39820</v>
      </c>
      <c r="H193" s="57">
        <v>32691</v>
      </c>
      <c r="I193" s="57">
        <v>8900</v>
      </c>
    </row>
    <row r="194" spans="1:9" ht="14.4" x14ac:dyDescent="0.3">
      <c r="A194" s="28">
        <f>DATE(2009,6,1)</f>
        <v>39965</v>
      </c>
      <c r="B194" s="57">
        <v>191379740</v>
      </c>
      <c r="C194" s="57">
        <v>53649361</v>
      </c>
      <c r="D194" s="57">
        <v>0</v>
      </c>
      <c r="E194" s="57">
        <v>67076</v>
      </c>
      <c r="F194" s="57">
        <v>0</v>
      </c>
      <c r="G194" s="57">
        <v>34269</v>
      </c>
      <c r="H194" s="57">
        <v>0</v>
      </c>
      <c r="I194" s="80">
        <v>26757</v>
      </c>
    </row>
    <row r="195" spans="1:9" ht="14.4" x14ac:dyDescent="0.3">
      <c r="A195" s="28">
        <f>DATE(2009,7,1)</f>
        <v>39995</v>
      </c>
      <c r="B195" s="57">
        <v>194135238</v>
      </c>
      <c r="C195" s="57">
        <v>74587040</v>
      </c>
      <c r="D195" s="80">
        <v>0</v>
      </c>
      <c r="E195" s="57">
        <v>39114</v>
      </c>
      <c r="F195" s="57">
        <v>0</v>
      </c>
      <c r="G195" s="57">
        <v>36975</v>
      </c>
      <c r="H195" s="57">
        <v>144994</v>
      </c>
      <c r="I195" s="57">
        <v>542840</v>
      </c>
    </row>
    <row r="196" spans="1:9" ht="14.4" x14ac:dyDescent="0.3">
      <c r="A196" s="28">
        <f>DATE(2009,8,1)</f>
        <v>40026</v>
      </c>
      <c r="B196" s="57">
        <v>192670048</v>
      </c>
      <c r="C196" s="57">
        <v>74623883</v>
      </c>
      <c r="D196" s="80">
        <v>0</v>
      </c>
      <c r="E196" s="57">
        <v>66528</v>
      </c>
      <c r="F196" s="57">
        <v>0</v>
      </c>
      <c r="G196" s="57">
        <v>28152</v>
      </c>
      <c r="H196" s="57">
        <v>43215</v>
      </c>
      <c r="I196" s="57">
        <v>76381</v>
      </c>
    </row>
    <row r="197" spans="1:9" ht="14.4" x14ac:dyDescent="0.3">
      <c r="A197" s="28">
        <f>DATE(2009,9,1)</f>
        <v>40057</v>
      </c>
      <c r="B197" s="57">
        <v>182981972</v>
      </c>
      <c r="C197" s="57">
        <v>70167733</v>
      </c>
      <c r="D197" s="80">
        <v>0</v>
      </c>
      <c r="E197" s="57">
        <v>56411</v>
      </c>
      <c r="F197" s="57">
        <v>0</v>
      </c>
      <c r="G197" s="57">
        <v>37568</v>
      </c>
      <c r="H197" s="57">
        <v>53030</v>
      </c>
      <c r="I197" s="57">
        <v>62667</v>
      </c>
    </row>
    <row r="198" spans="1:9" ht="14.4" x14ac:dyDescent="0.3">
      <c r="A198" s="28">
        <f>DATE(2009,10,1)</f>
        <v>40087</v>
      </c>
      <c r="B198" s="57">
        <v>185345492</v>
      </c>
      <c r="C198" s="57">
        <v>74328901</v>
      </c>
      <c r="D198" s="80">
        <v>0</v>
      </c>
      <c r="E198" s="57">
        <v>53321</v>
      </c>
      <c r="F198" s="57">
        <v>0</v>
      </c>
      <c r="G198" s="57">
        <v>26506</v>
      </c>
      <c r="H198" s="57">
        <v>120650</v>
      </c>
      <c r="I198" s="57">
        <v>974200</v>
      </c>
    </row>
    <row r="199" spans="1:9" ht="14.4" x14ac:dyDescent="0.3">
      <c r="A199" s="28">
        <f>DATE(2009,11,1)</f>
        <v>40118</v>
      </c>
      <c r="B199" s="57">
        <v>177605537</v>
      </c>
      <c r="C199" s="57">
        <v>68824410</v>
      </c>
      <c r="D199" s="80">
        <v>0</v>
      </c>
      <c r="E199" s="57">
        <v>57148</v>
      </c>
      <c r="F199" s="80">
        <v>0</v>
      </c>
      <c r="G199" s="57">
        <v>30364</v>
      </c>
      <c r="H199" s="57">
        <v>64432</v>
      </c>
      <c r="I199" s="57">
        <v>593238</v>
      </c>
    </row>
    <row r="200" spans="1:9" ht="14.4" x14ac:dyDescent="0.3">
      <c r="A200" s="28">
        <f>DATE(2009,12,1)</f>
        <v>40148</v>
      </c>
      <c r="B200" s="57">
        <v>187978850</v>
      </c>
      <c r="C200" s="57">
        <v>77792807</v>
      </c>
      <c r="D200" s="80">
        <v>0</v>
      </c>
      <c r="E200" s="57">
        <v>38415</v>
      </c>
      <c r="F200" s="57">
        <v>350</v>
      </c>
      <c r="G200" s="57">
        <v>22292</v>
      </c>
      <c r="H200" s="80">
        <v>0</v>
      </c>
      <c r="I200" s="57">
        <v>372955</v>
      </c>
    </row>
    <row r="201" spans="1:9" ht="14.4" x14ac:dyDescent="0.3">
      <c r="A201" s="28"/>
      <c r="B201" s="80"/>
      <c r="C201" s="80"/>
      <c r="D201" s="80"/>
      <c r="E201" s="80"/>
      <c r="F201" s="80"/>
      <c r="G201" s="80"/>
      <c r="H201" s="80"/>
      <c r="I201" s="80"/>
    </row>
    <row r="202" spans="1:9" ht="14.4" x14ac:dyDescent="0.3">
      <c r="A202" s="95" t="s">
        <v>2</v>
      </c>
      <c r="B202" s="57">
        <f>SUM(B189:B200)</f>
        <v>2215613315</v>
      </c>
      <c r="C202" s="57">
        <f t="shared" ref="C202:I202" si="8">SUM(C189:C200)</f>
        <v>743465478</v>
      </c>
      <c r="D202" s="57">
        <f t="shared" si="8"/>
        <v>0</v>
      </c>
      <c r="E202" s="57">
        <f t="shared" si="8"/>
        <v>723224</v>
      </c>
      <c r="F202" s="57">
        <f t="shared" si="8"/>
        <v>17425</v>
      </c>
      <c r="G202" s="57">
        <f t="shared" si="8"/>
        <v>356329</v>
      </c>
      <c r="H202" s="57">
        <f t="shared" si="8"/>
        <v>851059</v>
      </c>
      <c r="I202" s="57">
        <f t="shared" si="8"/>
        <v>3233945</v>
      </c>
    </row>
    <row r="203" spans="1:9" ht="14.4" x14ac:dyDescent="0.3">
      <c r="A203" s="34"/>
      <c r="B203" s="35"/>
      <c r="C203" s="35"/>
      <c r="D203" s="35"/>
      <c r="E203" s="35"/>
      <c r="F203" s="35"/>
      <c r="G203" s="35"/>
      <c r="H203" s="35"/>
      <c r="I203" s="35"/>
    </row>
    <row r="204" spans="1:9" ht="14.4" x14ac:dyDescent="0.3">
      <c r="A204" s="34"/>
      <c r="B204" s="35"/>
      <c r="C204" s="35"/>
      <c r="D204" s="35"/>
      <c r="E204" s="35"/>
      <c r="F204" s="35"/>
      <c r="G204" s="35"/>
      <c r="H204" s="35"/>
      <c r="I204" s="35"/>
    </row>
    <row r="205" spans="1:9" ht="14.4" x14ac:dyDescent="0.3">
      <c r="A205" s="34"/>
      <c r="B205" s="35"/>
      <c r="C205" s="35"/>
      <c r="D205" s="35"/>
      <c r="E205" s="35"/>
      <c r="F205" s="35"/>
      <c r="G205" s="35"/>
      <c r="H205" s="35"/>
      <c r="I205" s="35"/>
    </row>
    <row r="206" spans="1:9" ht="28.2" x14ac:dyDescent="0.3">
      <c r="A206" s="96" t="s">
        <v>107</v>
      </c>
      <c r="B206" s="80" t="s">
        <v>166</v>
      </c>
      <c r="C206" s="80" t="s">
        <v>113</v>
      </c>
      <c r="D206" s="80" t="s">
        <v>115</v>
      </c>
      <c r="E206" s="97" t="s">
        <v>116</v>
      </c>
      <c r="F206" s="27" t="s">
        <v>117</v>
      </c>
      <c r="G206" s="27" t="s">
        <v>145</v>
      </c>
      <c r="H206" s="27" t="s">
        <v>119</v>
      </c>
      <c r="I206" s="27" t="s">
        <v>120</v>
      </c>
    </row>
    <row r="207" spans="1:9" ht="14.4" x14ac:dyDescent="0.3">
      <c r="A207" s="28">
        <f>DATE(2010,1,1)</f>
        <v>40179</v>
      </c>
      <c r="B207" s="82">
        <v>168204121</v>
      </c>
      <c r="C207" s="82">
        <v>69692244</v>
      </c>
      <c r="D207" s="57">
        <v>0</v>
      </c>
      <c r="E207" s="82">
        <v>50985</v>
      </c>
      <c r="F207" s="57">
        <v>2389</v>
      </c>
      <c r="G207" s="57">
        <v>24071</v>
      </c>
      <c r="H207" s="82">
        <v>50870</v>
      </c>
      <c r="I207" s="57">
        <v>0</v>
      </c>
    </row>
    <row r="208" spans="1:9" ht="14.4" x14ac:dyDescent="0.3">
      <c r="A208" s="28">
        <f>DATE(2010,2,1)</f>
        <v>40210</v>
      </c>
      <c r="B208" s="57">
        <v>157494928</v>
      </c>
      <c r="C208" s="57">
        <v>66800360</v>
      </c>
      <c r="D208" s="57">
        <v>0</v>
      </c>
      <c r="E208" s="57">
        <v>48534</v>
      </c>
      <c r="F208" s="57">
        <v>5176</v>
      </c>
      <c r="G208" s="57">
        <v>15741</v>
      </c>
      <c r="H208" s="57">
        <v>120036</v>
      </c>
      <c r="I208" s="57">
        <v>185603</v>
      </c>
    </row>
    <row r="209" spans="1:9" ht="14.4" x14ac:dyDescent="0.3">
      <c r="A209" s="28">
        <f>DATE(2010,3,1)</f>
        <v>40238</v>
      </c>
      <c r="B209" s="57">
        <v>187406920</v>
      </c>
      <c r="C209" s="57">
        <v>80903206</v>
      </c>
      <c r="D209" s="80">
        <v>0</v>
      </c>
      <c r="E209" s="57">
        <v>64046</v>
      </c>
      <c r="F209" s="57">
        <v>2312</v>
      </c>
      <c r="G209" s="57">
        <v>39376</v>
      </c>
      <c r="H209" s="57">
        <v>30865</v>
      </c>
      <c r="I209" s="57">
        <v>2400</v>
      </c>
    </row>
    <row r="210" spans="1:9" ht="14.4" x14ac:dyDescent="0.3">
      <c r="A210" s="28">
        <f>DATE(2010,4,1)</f>
        <v>40269</v>
      </c>
      <c r="B210" s="57">
        <v>188605712</v>
      </c>
      <c r="C210" s="57">
        <v>85038325</v>
      </c>
      <c r="D210" s="80">
        <v>0</v>
      </c>
      <c r="E210" s="57">
        <v>50843</v>
      </c>
      <c r="F210" s="57">
        <v>4488</v>
      </c>
      <c r="G210" s="57">
        <v>30288</v>
      </c>
      <c r="H210" s="57">
        <v>143029</v>
      </c>
      <c r="I210" s="57">
        <v>39197</v>
      </c>
    </row>
    <row r="211" spans="1:9" ht="14.4" x14ac:dyDescent="0.3">
      <c r="A211" s="28">
        <f>DATE(2010,5,1)</f>
        <v>40299</v>
      </c>
      <c r="B211" s="57">
        <v>193501322</v>
      </c>
      <c r="C211" s="57">
        <v>85960520</v>
      </c>
      <c r="D211" s="80">
        <v>0</v>
      </c>
      <c r="E211" s="57">
        <v>41776</v>
      </c>
      <c r="F211" s="57">
        <v>0</v>
      </c>
      <c r="G211" s="57">
        <v>30627</v>
      </c>
      <c r="H211" s="57">
        <v>42414</v>
      </c>
      <c r="I211" s="57">
        <v>73907</v>
      </c>
    </row>
    <row r="212" spans="1:9" ht="14.4" x14ac:dyDescent="0.3">
      <c r="A212" s="28">
        <f>DATE(2010,6,1)</f>
        <v>40330</v>
      </c>
      <c r="B212" s="57">
        <v>193311546</v>
      </c>
      <c r="C212" s="57">
        <v>89155902</v>
      </c>
      <c r="D212" s="57">
        <v>0</v>
      </c>
      <c r="E212" s="57">
        <v>72517</v>
      </c>
      <c r="F212" s="57">
        <v>0</v>
      </c>
      <c r="G212" s="57">
        <v>43909</v>
      </c>
      <c r="H212" s="57">
        <v>9950</v>
      </c>
      <c r="I212" s="82">
        <v>2000</v>
      </c>
    </row>
    <row r="213" spans="1:9" ht="14.4" x14ac:dyDescent="0.3">
      <c r="A213" s="28">
        <f>DATE(2010,7,1)</f>
        <v>40360</v>
      </c>
      <c r="B213" s="57">
        <v>200184317</v>
      </c>
      <c r="C213" s="57">
        <v>87004044</v>
      </c>
      <c r="D213" s="80">
        <v>0</v>
      </c>
      <c r="E213" s="57">
        <v>56680</v>
      </c>
      <c r="F213" s="57">
        <v>0</v>
      </c>
      <c r="G213" s="57">
        <v>26961</v>
      </c>
      <c r="H213" s="57">
        <v>135686</v>
      </c>
      <c r="I213" s="57">
        <v>347548</v>
      </c>
    </row>
    <row r="214" spans="1:9" ht="14.4" x14ac:dyDescent="0.3">
      <c r="A214" s="28">
        <f>DATE(2010,8,1)</f>
        <v>40391</v>
      </c>
      <c r="B214" s="57">
        <v>198042612</v>
      </c>
      <c r="C214" s="57">
        <v>85853278</v>
      </c>
      <c r="D214" s="80">
        <v>0</v>
      </c>
      <c r="E214" s="57">
        <v>26107</v>
      </c>
      <c r="F214" s="57">
        <v>0</v>
      </c>
      <c r="G214" s="57">
        <v>42243</v>
      </c>
      <c r="H214" s="57">
        <v>53841</v>
      </c>
      <c r="I214" s="57">
        <v>211782</v>
      </c>
    </row>
    <row r="215" spans="1:9" ht="14.4" x14ac:dyDescent="0.3">
      <c r="A215" s="28">
        <f>DATE(2010,9,1)</f>
        <v>40422</v>
      </c>
      <c r="B215" s="57">
        <v>185058415</v>
      </c>
      <c r="C215" s="57">
        <v>80266608</v>
      </c>
      <c r="D215" s="80">
        <v>0</v>
      </c>
      <c r="E215" s="57">
        <v>29751</v>
      </c>
      <c r="F215" s="57">
        <v>0</v>
      </c>
      <c r="G215" s="57">
        <v>33693</v>
      </c>
      <c r="H215" s="57">
        <v>11885</v>
      </c>
      <c r="I215" s="57">
        <v>9779</v>
      </c>
    </row>
    <row r="216" spans="1:9" ht="14.4" x14ac:dyDescent="0.3">
      <c r="A216" s="28">
        <f>DATE(2010,10,1)</f>
        <v>40452</v>
      </c>
      <c r="B216" s="57">
        <v>186828939</v>
      </c>
      <c r="C216" s="57">
        <v>84234017</v>
      </c>
      <c r="D216" s="80"/>
      <c r="E216" s="57">
        <v>35200</v>
      </c>
      <c r="F216" s="57">
        <v>0</v>
      </c>
      <c r="G216" s="57">
        <v>18995</v>
      </c>
      <c r="H216" s="57">
        <v>128728</v>
      </c>
      <c r="I216" s="57">
        <v>1019764</v>
      </c>
    </row>
    <row r="217" spans="1:9" ht="14.4" x14ac:dyDescent="0.3">
      <c r="A217" s="28">
        <f>DATE(2010,11,1)</f>
        <v>40483</v>
      </c>
      <c r="B217" s="57">
        <v>180573117</v>
      </c>
      <c r="C217" s="57">
        <v>73104052</v>
      </c>
      <c r="D217" s="80">
        <v>0</v>
      </c>
      <c r="E217" s="57">
        <v>44443</v>
      </c>
      <c r="F217" s="80">
        <v>0</v>
      </c>
      <c r="G217" s="57">
        <v>20584</v>
      </c>
      <c r="H217" s="57">
        <v>80977</v>
      </c>
      <c r="I217" s="57">
        <v>1147717</v>
      </c>
    </row>
    <row r="218" spans="1:9" ht="14.4" x14ac:dyDescent="0.3">
      <c r="A218" s="28">
        <f>DATE(2010,12,1)</f>
        <v>40513</v>
      </c>
      <c r="B218" s="57">
        <v>181516114</v>
      </c>
      <c r="C218" s="57">
        <v>74867290</v>
      </c>
      <c r="D218" s="80">
        <v>0</v>
      </c>
      <c r="E218" s="57">
        <v>44941</v>
      </c>
      <c r="F218" s="57">
        <v>0</v>
      </c>
      <c r="G218" s="57">
        <v>14644</v>
      </c>
      <c r="H218" s="80">
        <v>0</v>
      </c>
      <c r="I218" s="57">
        <v>0</v>
      </c>
    </row>
    <row r="219" spans="1:9" ht="14.4" x14ac:dyDescent="0.3">
      <c r="A219" s="28"/>
      <c r="B219" s="80"/>
      <c r="C219" s="80"/>
      <c r="D219" s="80"/>
      <c r="E219" s="80"/>
      <c r="F219" s="80"/>
      <c r="G219" s="80"/>
      <c r="H219" s="80"/>
      <c r="I219" s="80"/>
    </row>
    <row r="220" spans="1:9" ht="14.4" x14ac:dyDescent="0.3">
      <c r="A220" s="95" t="s">
        <v>2</v>
      </c>
      <c r="B220" s="57">
        <f>SUM(B207:B218)</f>
        <v>2220728063</v>
      </c>
      <c r="C220" s="57">
        <f t="shared" ref="C220:I220" si="9">SUM(C207:C218)</f>
        <v>962879846</v>
      </c>
      <c r="D220" s="57">
        <f t="shared" si="9"/>
        <v>0</v>
      </c>
      <c r="E220" s="57">
        <f t="shared" si="9"/>
        <v>565823</v>
      </c>
      <c r="F220" s="57">
        <f t="shared" si="9"/>
        <v>14365</v>
      </c>
      <c r="G220" s="57">
        <f t="shared" si="9"/>
        <v>341132</v>
      </c>
      <c r="H220" s="57">
        <f t="shared" si="9"/>
        <v>808281</v>
      </c>
      <c r="I220" s="57">
        <f t="shared" si="9"/>
        <v>3039697</v>
      </c>
    </row>
    <row r="221" spans="1:9" ht="14.4" x14ac:dyDescent="0.3">
      <c r="A221" s="34"/>
      <c r="B221" s="35"/>
      <c r="C221" s="35"/>
      <c r="D221" s="35"/>
      <c r="E221" s="35"/>
      <c r="F221" s="35"/>
      <c r="G221" s="35"/>
      <c r="H221" s="35"/>
      <c r="I221" s="35"/>
    </row>
    <row r="222" spans="1:9" ht="14.4" x14ac:dyDescent="0.3">
      <c r="A222" s="34"/>
      <c r="B222" s="35"/>
      <c r="C222" s="35"/>
      <c r="D222" s="35"/>
      <c r="E222" s="35"/>
      <c r="F222" s="35"/>
      <c r="G222" s="35"/>
      <c r="H222" s="35"/>
      <c r="I222" s="35"/>
    </row>
    <row r="223" spans="1:9" ht="14.4" x14ac:dyDescent="0.3">
      <c r="A223" s="34"/>
      <c r="B223" s="35"/>
      <c r="C223" s="35"/>
      <c r="D223" s="35"/>
      <c r="E223" s="35"/>
      <c r="F223" s="35"/>
      <c r="G223" s="35"/>
      <c r="H223" s="35"/>
      <c r="I223" s="35"/>
    </row>
    <row r="224" spans="1:9" ht="28.2" x14ac:dyDescent="0.3">
      <c r="A224" s="96" t="s">
        <v>107</v>
      </c>
      <c r="B224" s="80" t="s">
        <v>166</v>
      </c>
      <c r="C224" s="80" t="s">
        <v>113</v>
      </c>
      <c r="D224" s="80" t="s">
        <v>115</v>
      </c>
      <c r="E224" s="97" t="s">
        <v>116</v>
      </c>
      <c r="F224" s="27" t="s">
        <v>117</v>
      </c>
      <c r="G224" s="27" t="s">
        <v>145</v>
      </c>
      <c r="H224" s="27" t="s">
        <v>119</v>
      </c>
      <c r="I224" s="27" t="s">
        <v>120</v>
      </c>
    </row>
    <row r="225" spans="1:9" ht="14.4" x14ac:dyDescent="0.3">
      <c r="A225" s="28">
        <f>DATE(2011,1,1)</f>
        <v>40544</v>
      </c>
      <c r="B225" s="82">
        <v>164126407</v>
      </c>
      <c r="C225" s="82">
        <v>66235756</v>
      </c>
      <c r="D225" s="57">
        <v>0</v>
      </c>
      <c r="E225" s="82">
        <v>47684</v>
      </c>
      <c r="F225" s="57"/>
      <c r="G225" s="57">
        <v>19648</v>
      </c>
      <c r="H225" s="82">
        <v>22598</v>
      </c>
      <c r="I225" s="57">
        <v>202309</v>
      </c>
    </row>
    <row r="226" spans="1:9" ht="14.4" x14ac:dyDescent="0.3">
      <c r="A226" s="28">
        <f>DATE(2011,2,1)</f>
        <v>40575</v>
      </c>
      <c r="B226" s="57">
        <v>160486716</v>
      </c>
      <c r="C226" s="57">
        <v>65669974</v>
      </c>
      <c r="D226" s="57">
        <v>0</v>
      </c>
      <c r="E226" s="57">
        <v>50958</v>
      </c>
      <c r="F226" s="57">
        <v>5495</v>
      </c>
      <c r="G226" s="57">
        <v>32054</v>
      </c>
      <c r="H226" s="57">
        <v>107873</v>
      </c>
      <c r="I226" s="57">
        <v>212688</v>
      </c>
    </row>
    <row r="227" spans="1:9" ht="14.4" x14ac:dyDescent="0.3">
      <c r="A227" s="28">
        <f>DATE(2011,3,1)</f>
        <v>40603</v>
      </c>
      <c r="B227" s="57">
        <v>182395245</v>
      </c>
      <c r="C227" s="57">
        <v>75914027</v>
      </c>
      <c r="D227" s="80">
        <v>0</v>
      </c>
      <c r="E227" s="57">
        <v>59432</v>
      </c>
      <c r="F227" s="57">
        <v>841</v>
      </c>
      <c r="G227" s="57">
        <v>15847</v>
      </c>
      <c r="H227" s="57">
        <v>14943</v>
      </c>
      <c r="I227" s="57">
        <v>29980</v>
      </c>
    </row>
    <row r="228" spans="1:9" ht="14.4" x14ac:dyDescent="0.3">
      <c r="A228" s="28">
        <f>DATE(2011,4,1)</f>
        <v>40634</v>
      </c>
      <c r="B228" s="57">
        <v>178421093</v>
      </c>
      <c r="C228" s="57">
        <v>75624196</v>
      </c>
      <c r="D228" s="80">
        <v>0</v>
      </c>
      <c r="E228" s="57">
        <v>57918</v>
      </c>
      <c r="F228" s="57">
        <v>1847</v>
      </c>
      <c r="G228" s="57">
        <v>25394</v>
      </c>
      <c r="H228" s="57">
        <v>156410</v>
      </c>
      <c r="I228" s="57">
        <v>112704</v>
      </c>
    </row>
    <row r="229" spans="1:9" ht="14.4" x14ac:dyDescent="0.3">
      <c r="A229" s="28">
        <f>DATE(2011,5,1)</f>
        <v>40664</v>
      </c>
      <c r="B229" s="57">
        <v>187210585</v>
      </c>
      <c r="C229" s="57">
        <v>80364246</v>
      </c>
      <c r="D229" s="80">
        <v>0</v>
      </c>
      <c r="E229" s="57">
        <v>52798</v>
      </c>
      <c r="F229" s="57">
        <v>337</v>
      </c>
      <c r="G229" s="57">
        <v>20161</v>
      </c>
      <c r="H229" s="57">
        <v>57435</v>
      </c>
      <c r="I229" s="57">
        <v>2100</v>
      </c>
    </row>
    <row r="230" spans="1:9" ht="14.4" x14ac:dyDescent="0.3">
      <c r="A230" s="28">
        <f>DATE(2011,6,1)</f>
        <v>40695</v>
      </c>
      <c r="B230" s="57">
        <v>187527343</v>
      </c>
      <c r="C230" s="57">
        <v>85860387</v>
      </c>
      <c r="D230" s="57">
        <v>0</v>
      </c>
      <c r="E230" s="57">
        <v>66792</v>
      </c>
      <c r="F230" s="57">
        <v>0</v>
      </c>
      <c r="G230" s="57">
        <v>36048</v>
      </c>
      <c r="H230" s="57">
        <v>0</v>
      </c>
      <c r="I230" s="82">
        <v>3037</v>
      </c>
    </row>
    <row r="231" spans="1:9" ht="14.4" x14ac:dyDescent="0.3">
      <c r="A231" s="28">
        <f>DATE(2011,7,1)</f>
        <v>40725</v>
      </c>
      <c r="B231" s="57">
        <v>189401046</v>
      </c>
      <c r="C231" s="57">
        <v>96111877</v>
      </c>
      <c r="D231" s="80">
        <v>1702</v>
      </c>
      <c r="E231" s="57">
        <v>62041</v>
      </c>
      <c r="F231" s="57">
        <v>478</v>
      </c>
      <c r="G231" s="57">
        <v>28646</v>
      </c>
      <c r="H231" s="57">
        <v>88495</v>
      </c>
      <c r="I231" s="57">
        <v>445444</v>
      </c>
    </row>
    <row r="232" spans="1:9" ht="14.4" x14ac:dyDescent="0.3">
      <c r="A232" s="28">
        <f>DATE(2011,8,1)</f>
        <v>40756</v>
      </c>
      <c r="B232" s="57">
        <v>193179733</v>
      </c>
      <c r="C232" s="57">
        <v>98827500</v>
      </c>
      <c r="D232" s="80">
        <v>0</v>
      </c>
      <c r="E232" s="57">
        <v>60687</v>
      </c>
      <c r="F232" s="57">
        <v>0</v>
      </c>
      <c r="G232" s="57">
        <v>35329</v>
      </c>
      <c r="H232" s="57">
        <v>68847</v>
      </c>
      <c r="I232" s="57">
        <v>83847</v>
      </c>
    </row>
    <row r="233" spans="1:9" ht="14.4" x14ac:dyDescent="0.3">
      <c r="A233" s="28">
        <f>DATE(2011,9,1)</f>
        <v>40787</v>
      </c>
      <c r="B233" s="57">
        <v>180860840</v>
      </c>
      <c r="C233" s="57">
        <v>94556407</v>
      </c>
      <c r="D233" s="80">
        <v>0</v>
      </c>
      <c r="E233" s="57">
        <v>52223</v>
      </c>
      <c r="F233" s="57">
        <v>246</v>
      </c>
      <c r="G233" s="57">
        <v>27267</v>
      </c>
      <c r="H233" s="57">
        <v>0</v>
      </c>
      <c r="I233" s="57">
        <v>84681</v>
      </c>
    </row>
    <row r="234" spans="1:9" ht="14.4" x14ac:dyDescent="0.3">
      <c r="A234" s="28">
        <f>DATE(2011,10,1)</f>
        <v>40817</v>
      </c>
      <c r="B234" s="57">
        <v>181861629</v>
      </c>
      <c r="C234" s="57">
        <v>96898974</v>
      </c>
      <c r="D234" s="80">
        <v>0</v>
      </c>
      <c r="E234" s="57">
        <v>403190</v>
      </c>
      <c r="F234" s="57">
        <v>0</v>
      </c>
      <c r="G234" s="57">
        <v>33358</v>
      </c>
      <c r="H234" s="57">
        <v>43815</v>
      </c>
      <c r="I234" s="57">
        <v>997361</v>
      </c>
    </row>
    <row r="235" spans="1:9" ht="14.4" x14ac:dyDescent="0.3">
      <c r="A235" s="28">
        <f>DATE(2011,11,1)</f>
        <v>40848</v>
      </c>
      <c r="B235" s="57">
        <v>177345514</v>
      </c>
      <c r="C235" s="57">
        <v>95916951</v>
      </c>
      <c r="D235" s="80">
        <v>8111</v>
      </c>
      <c r="E235" s="57">
        <v>421295</v>
      </c>
      <c r="F235" s="80">
        <v>0</v>
      </c>
      <c r="G235" s="57">
        <v>25814</v>
      </c>
      <c r="H235" s="57">
        <v>94569</v>
      </c>
      <c r="I235" s="57">
        <v>380951</v>
      </c>
    </row>
    <row r="236" spans="1:9" ht="14.4" x14ac:dyDescent="0.3">
      <c r="A236" s="28">
        <f>DATE(2011,12,1)</f>
        <v>40878</v>
      </c>
      <c r="B236" s="57">
        <v>181703920</v>
      </c>
      <c r="C236" s="57">
        <v>95918173</v>
      </c>
      <c r="D236" s="80">
        <v>0</v>
      </c>
      <c r="E236" s="57">
        <v>453188</v>
      </c>
      <c r="F236" s="57">
        <v>0</v>
      </c>
      <c r="G236" s="57">
        <v>23350</v>
      </c>
      <c r="H236" s="80">
        <v>0</v>
      </c>
      <c r="I236" s="57">
        <v>144355</v>
      </c>
    </row>
    <row r="237" spans="1:9" ht="14.4" x14ac:dyDescent="0.3">
      <c r="A237" s="28"/>
      <c r="B237" s="80"/>
      <c r="C237" s="80"/>
      <c r="D237" s="80"/>
      <c r="E237" s="80"/>
      <c r="F237" s="80"/>
      <c r="G237" s="80"/>
      <c r="H237" s="80"/>
      <c r="I237" s="80"/>
    </row>
    <row r="238" spans="1:9" ht="14.4" x14ac:dyDescent="0.3">
      <c r="A238" s="95" t="s">
        <v>2</v>
      </c>
      <c r="B238" s="57">
        <f>SUM(B225:B236)</f>
        <v>2164520071</v>
      </c>
      <c r="C238" s="57">
        <f t="shared" ref="C238:I238" si="10">SUM(C225:C236)</f>
        <v>1027898468</v>
      </c>
      <c r="D238" s="57">
        <f t="shared" si="10"/>
        <v>9813</v>
      </c>
      <c r="E238" s="57">
        <f t="shared" si="10"/>
        <v>1788206</v>
      </c>
      <c r="F238" s="57">
        <f t="shared" si="10"/>
        <v>9244</v>
      </c>
      <c r="G238" s="57">
        <f t="shared" si="10"/>
        <v>322916</v>
      </c>
      <c r="H238" s="57">
        <f t="shared" si="10"/>
        <v>654985</v>
      </c>
      <c r="I238" s="57">
        <f t="shared" si="10"/>
        <v>2699457</v>
      </c>
    </row>
    <row r="239" spans="1:9" ht="14.4" x14ac:dyDescent="0.3">
      <c r="A239" s="34"/>
      <c r="B239" s="35"/>
      <c r="C239" s="35"/>
      <c r="D239" s="35"/>
      <c r="E239" s="35"/>
      <c r="F239" s="35"/>
      <c r="G239" s="35"/>
      <c r="H239" s="35"/>
      <c r="I239" s="35"/>
    </row>
    <row r="240" spans="1:9" ht="14.4" x14ac:dyDescent="0.3">
      <c r="A240" s="34"/>
      <c r="B240" s="35"/>
      <c r="C240" s="35"/>
      <c r="D240" s="35"/>
      <c r="E240" s="35"/>
      <c r="F240" s="35"/>
      <c r="G240" s="35"/>
      <c r="H240" s="35"/>
      <c r="I240" s="35"/>
    </row>
    <row r="241" spans="1:9" ht="28.2" x14ac:dyDescent="0.3">
      <c r="A241" s="96" t="s">
        <v>107</v>
      </c>
      <c r="B241" s="80" t="s">
        <v>166</v>
      </c>
      <c r="C241" s="80" t="s">
        <v>113</v>
      </c>
      <c r="D241" s="80" t="s">
        <v>115</v>
      </c>
      <c r="E241" s="97" t="s">
        <v>116</v>
      </c>
      <c r="F241" s="27" t="s">
        <v>117</v>
      </c>
      <c r="G241" s="27" t="s">
        <v>145</v>
      </c>
      <c r="H241" s="27" t="s">
        <v>119</v>
      </c>
      <c r="I241" s="27" t="s">
        <v>120</v>
      </c>
    </row>
    <row r="242" spans="1:9" ht="14.4" x14ac:dyDescent="0.3">
      <c r="A242" s="28">
        <f>DATE(2012,1,1)</f>
        <v>40909</v>
      </c>
      <c r="B242" s="82">
        <v>165121426</v>
      </c>
      <c r="C242" s="82">
        <v>87225232</v>
      </c>
      <c r="D242" s="57">
        <v>0</v>
      </c>
      <c r="E242" s="82">
        <v>438295</v>
      </c>
      <c r="F242" s="57">
        <v>1040</v>
      </c>
      <c r="G242" s="57">
        <v>24086</v>
      </c>
      <c r="H242" s="82">
        <v>138749</v>
      </c>
      <c r="I242" s="57">
        <v>189458</v>
      </c>
    </row>
    <row r="243" spans="1:9" ht="14.4" x14ac:dyDescent="0.3">
      <c r="A243" s="28">
        <f>DATE(2012,2,1)</f>
        <v>40940</v>
      </c>
      <c r="B243" s="57">
        <v>165762785</v>
      </c>
      <c r="C243" s="57">
        <v>88310394</v>
      </c>
      <c r="D243" s="57">
        <v>0</v>
      </c>
      <c r="E243" s="57">
        <v>68821</v>
      </c>
      <c r="F243" s="57">
        <v>1977</v>
      </c>
      <c r="G243" s="57">
        <v>29380</v>
      </c>
      <c r="H243" s="57">
        <v>33028</v>
      </c>
      <c r="I243" s="57">
        <v>54610</v>
      </c>
    </row>
    <row r="244" spans="1:9" ht="14.4" x14ac:dyDescent="0.3">
      <c r="A244" s="28">
        <f>DATE(2012,3,1)</f>
        <v>40969</v>
      </c>
      <c r="B244" s="57">
        <v>185276501</v>
      </c>
      <c r="C244" s="57">
        <v>103614655</v>
      </c>
      <c r="D244" s="80">
        <v>0</v>
      </c>
      <c r="E244" s="57">
        <v>52903</v>
      </c>
      <c r="F244" s="57">
        <v>440</v>
      </c>
      <c r="G244" s="57">
        <v>33945</v>
      </c>
      <c r="H244" s="57">
        <v>39088</v>
      </c>
      <c r="I244" s="57">
        <v>95634</v>
      </c>
    </row>
    <row r="245" spans="1:9" ht="14.4" x14ac:dyDescent="0.3">
      <c r="A245" s="28">
        <f>DATE(2012,4,1)</f>
        <v>41000</v>
      </c>
      <c r="B245" s="57">
        <v>177554525</v>
      </c>
      <c r="C245" s="57">
        <v>98596094</v>
      </c>
      <c r="D245" s="80">
        <v>0</v>
      </c>
      <c r="E245" s="57">
        <v>67847</v>
      </c>
      <c r="F245" s="57">
        <v>2386</v>
      </c>
      <c r="G245" s="57">
        <v>37830</v>
      </c>
      <c r="H245" s="57">
        <v>105960</v>
      </c>
      <c r="I245" s="57">
        <v>57681</v>
      </c>
    </row>
    <row r="246" spans="1:9" ht="14.4" x14ac:dyDescent="0.3">
      <c r="A246" s="28">
        <f>DATE(2012,5,1)</f>
        <v>41030</v>
      </c>
      <c r="B246" s="57">
        <v>191144792</v>
      </c>
      <c r="C246" s="57">
        <v>107493582</v>
      </c>
      <c r="D246" s="80">
        <v>0</v>
      </c>
      <c r="E246" s="57">
        <v>66243</v>
      </c>
      <c r="F246" s="57">
        <v>100</v>
      </c>
      <c r="G246" s="57">
        <v>47654</v>
      </c>
      <c r="H246" s="57">
        <v>54096</v>
      </c>
      <c r="I246" s="57">
        <v>168107</v>
      </c>
    </row>
    <row r="247" spans="1:9" ht="14.4" x14ac:dyDescent="0.3">
      <c r="A247" s="28">
        <f>DATE(2012,6,1)</f>
        <v>41061</v>
      </c>
      <c r="B247" s="57">
        <v>186352389</v>
      </c>
      <c r="C247" s="57">
        <v>103152149</v>
      </c>
      <c r="D247" s="57">
        <v>0</v>
      </c>
      <c r="E247" s="57">
        <v>69759</v>
      </c>
      <c r="F247" s="57">
        <v>286</v>
      </c>
      <c r="G247" s="57">
        <v>34322</v>
      </c>
      <c r="H247" s="57">
        <v>7809</v>
      </c>
      <c r="I247" s="82">
        <v>188088</v>
      </c>
    </row>
    <row r="248" spans="1:9" ht="14.4" x14ac:dyDescent="0.3">
      <c r="A248" s="28">
        <f>DATE(2012,7,1)</f>
        <v>41091</v>
      </c>
      <c r="B248" s="57">
        <v>183777238</v>
      </c>
      <c r="C248" s="57">
        <v>101128230</v>
      </c>
      <c r="D248" s="80">
        <v>0</v>
      </c>
      <c r="E248" s="57">
        <v>54187</v>
      </c>
      <c r="F248" s="57">
        <v>0</v>
      </c>
      <c r="G248" s="57">
        <v>31561</v>
      </c>
      <c r="H248" s="57">
        <v>11248</v>
      </c>
      <c r="I248" s="57">
        <v>631702</v>
      </c>
    </row>
    <row r="249" spans="1:9" ht="14.4" x14ac:dyDescent="0.3">
      <c r="A249" s="28">
        <f>DATE(2012,8,1)</f>
        <v>41122</v>
      </c>
      <c r="B249" s="57">
        <v>190101073</v>
      </c>
      <c r="C249" s="57">
        <v>103871452</v>
      </c>
      <c r="D249" s="80">
        <v>0</v>
      </c>
      <c r="E249" s="57">
        <v>82128</v>
      </c>
      <c r="F249" s="57">
        <v>0</v>
      </c>
      <c r="G249" s="57">
        <v>33410</v>
      </c>
      <c r="H249" s="57">
        <v>182401</v>
      </c>
      <c r="I249" s="57">
        <v>131376</v>
      </c>
    </row>
    <row r="250" spans="1:9" ht="14.4" x14ac:dyDescent="0.3">
      <c r="A250" s="28">
        <f>DATE(2012,9,1)</f>
        <v>41153</v>
      </c>
      <c r="B250" s="57">
        <v>171188172</v>
      </c>
      <c r="C250" s="57">
        <v>95327345</v>
      </c>
      <c r="D250" s="80">
        <v>0</v>
      </c>
      <c r="E250" s="57">
        <v>62040</v>
      </c>
      <c r="F250" s="57">
        <v>150</v>
      </c>
      <c r="G250" s="57">
        <v>33272</v>
      </c>
      <c r="H250" s="57">
        <v>6928</v>
      </c>
      <c r="I250" s="57">
        <v>93110</v>
      </c>
    </row>
    <row r="251" spans="1:9" ht="14.4" x14ac:dyDescent="0.3">
      <c r="A251" s="28">
        <f>DATE(2012,10,1)</f>
        <v>41183</v>
      </c>
      <c r="B251" s="57">
        <v>184392551</v>
      </c>
      <c r="C251" s="57">
        <v>101103954</v>
      </c>
      <c r="D251" s="80">
        <v>0</v>
      </c>
      <c r="E251" s="57">
        <v>63949</v>
      </c>
      <c r="F251" s="57">
        <v>0</v>
      </c>
      <c r="G251" s="57">
        <v>27406</v>
      </c>
      <c r="H251" s="57">
        <v>87749</v>
      </c>
      <c r="I251" s="57">
        <v>1026209</v>
      </c>
    </row>
    <row r="252" spans="1:9" ht="14.4" x14ac:dyDescent="0.3">
      <c r="A252" s="28">
        <f>DATE(2012,11,1)</f>
        <v>41214</v>
      </c>
      <c r="B252" s="57">
        <v>173954110</v>
      </c>
      <c r="C252" s="57">
        <v>94977760</v>
      </c>
      <c r="D252" s="80">
        <v>0</v>
      </c>
      <c r="E252" s="57">
        <v>45106</v>
      </c>
      <c r="F252" s="57">
        <v>0</v>
      </c>
      <c r="G252" s="57">
        <v>24934</v>
      </c>
      <c r="H252" s="57">
        <v>46758</v>
      </c>
      <c r="I252" s="57">
        <v>143116</v>
      </c>
    </row>
    <row r="253" spans="1:9" ht="14.4" x14ac:dyDescent="0.3">
      <c r="A253" s="28">
        <f>DATE(2012,12,1)</f>
        <v>41244</v>
      </c>
      <c r="B253" s="57">
        <v>171973792</v>
      </c>
      <c r="C253" s="57">
        <v>97012380</v>
      </c>
      <c r="D253" s="80">
        <v>0</v>
      </c>
      <c r="E253" s="57">
        <v>66527</v>
      </c>
      <c r="F253" s="57">
        <v>0</v>
      </c>
      <c r="G253" s="57">
        <v>28025</v>
      </c>
      <c r="H253" s="57">
        <v>9547</v>
      </c>
      <c r="I253" s="57">
        <v>240422</v>
      </c>
    </row>
    <row r="254" spans="1:9" ht="14.4" x14ac:dyDescent="0.3">
      <c r="A254" s="28"/>
      <c r="B254" s="80"/>
      <c r="C254" s="80"/>
      <c r="D254" s="80"/>
      <c r="E254" s="80"/>
      <c r="F254" s="35"/>
      <c r="G254" s="80"/>
      <c r="H254" s="80"/>
      <c r="I254" s="80"/>
    </row>
    <row r="255" spans="1:9" ht="14.4" x14ac:dyDescent="0.3">
      <c r="A255" s="95" t="s">
        <v>2</v>
      </c>
      <c r="B255" s="57">
        <f>SUM(B242:B253)</f>
        <v>2146599354</v>
      </c>
      <c r="C255" s="57">
        <f t="shared" ref="C255:I255" si="11">SUM(C242:C253)</f>
        <v>1181813227</v>
      </c>
      <c r="D255" s="57">
        <f t="shared" si="11"/>
        <v>0</v>
      </c>
      <c r="E255" s="57">
        <f t="shared" si="11"/>
        <v>1137805</v>
      </c>
      <c r="F255" s="57">
        <f>SUM(F242:F253)</f>
        <v>6379</v>
      </c>
      <c r="G255" s="57">
        <f>SUM(G242:G253)</f>
        <v>385825</v>
      </c>
      <c r="H255" s="57">
        <f t="shared" si="11"/>
        <v>723361</v>
      </c>
      <c r="I255" s="57">
        <f t="shared" si="11"/>
        <v>3019513</v>
      </c>
    </row>
    <row r="256" spans="1:9" ht="14.4" x14ac:dyDescent="0.3">
      <c r="A256" s="34"/>
      <c r="B256" s="35"/>
      <c r="C256" s="35"/>
      <c r="D256" s="35"/>
      <c r="E256" s="35"/>
      <c r="F256" s="35"/>
      <c r="G256" s="35"/>
      <c r="H256" s="35"/>
      <c r="I256" s="35"/>
    </row>
    <row r="257" spans="1:9" ht="28.2" x14ac:dyDescent="0.3">
      <c r="A257" s="96" t="s">
        <v>107</v>
      </c>
      <c r="B257" s="80" t="s">
        <v>166</v>
      </c>
      <c r="C257" s="80" t="s">
        <v>113</v>
      </c>
      <c r="D257" s="80" t="s">
        <v>115</v>
      </c>
      <c r="E257" s="97" t="s">
        <v>116</v>
      </c>
      <c r="F257" s="27" t="s">
        <v>117</v>
      </c>
      <c r="G257" s="27" t="s">
        <v>145</v>
      </c>
      <c r="H257" s="27" t="s">
        <v>119</v>
      </c>
      <c r="I257" s="27" t="s">
        <v>120</v>
      </c>
    </row>
    <row r="258" spans="1:9" ht="14.4" x14ac:dyDescent="0.3">
      <c r="A258" s="28">
        <f>DATE(2013,1,1)</f>
        <v>41275</v>
      </c>
      <c r="B258" s="57">
        <v>164020742</v>
      </c>
      <c r="C258" s="57">
        <v>91528752</v>
      </c>
      <c r="D258" s="57">
        <v>0</v>
      </c>
      <c r="E258" s="82">
        <v>52773</v>
      </c>
      <c r="F258" s="57">
        <v>0</v>
      </c>
      <c r="G258" s="57">
        <v>20611</v>
      </c>
      <c r="H258" s="82">
        <v>66667</v>
      </c>
      <c r="I258" s="57">
        <v>159451</v>
      </c>
    </row>
    <row r="259" spans="1:9" ht="14.4" x14ac:dyDescent="0.3">
      <c r="A259" s="28">
        <f>DATE(2013,2,1)</f>
        <v>41306</v>
      </c>
      <c r="B259" s="57">
        <v>156167726</v>
      </c>
      <c r="C259" s="57">
        <v>89558737</v>
      </c>
      <c r="D259" s="57">
        <v>0</v>
      </c>
      <c r="E259" s="57">
        <v>70207</v>
      </c>
      <c r="F259" s="57">
        <v>3017</v>
      </c>
      <c r="G259" s="57">
        <v>13300</v>
      </c>
      <c r="H259" s="57">
        <v>42953</v>
      </c>
      <c r="I259" s="57">
        <v>68060</v>
      </c>
    </row>
    <row r="260" spans="1:9" ht="14.4" x14ac:dyDescent="0.3">
      <c r="A260" s="28">
        <f>DATE(2013,3,1)</f>
        <v>41334</v>
      </c>
      <c r="B260" s="57">
        <v>179668252</v>
      </c>
      <c r="C260" s="57">
        <v>99382670</v>
      </c>
      <c r="D260" s="80">
        <v>0</v>
      </c>
      <c r="E260" s="57">
        <v>60954</v>
      </c>
      <c r="F260" s="57">
        <v>140</v>
      </c>
      <c r="G260" s="57">
        <v>18160</v>
      </c>
      <c r="H260" s="57">
        <v>58670</v>
      </c>
      <c r="I260" s="57">
        <v>149697</v>
      </c>
    </row>
    <row r="261" spans="1:9" ht="14.4" x14ac:dyDescent="0.3">
      <c r="A261" s="28">
        <f>DATE(2013,4,1)</f>
        <v>41365</v>
      </c>
      <c r="B261" s="57">
        <v>177600144</v>
      </c>
      <c r="C261" s="57">
        <v>102686610</v>
      </c>
      <c r="D261" s="80">
        <v>0</v>
      </c>
      <c r="E261" s="57">
        <v>50052</v>
      </c>
      <c r="F261" s="57">
        <v>3123</v>
      </c>
      <c r="G261" s="57">
        <v>36814</v>
      </c>
      <c r="H261" s="57">
        <v>75276</v>
      </c>
      <c r="I261" s="57">
        <v>17573</v>
      </c>
    </row>
    <row r="262" spans="1:9" ht="14.4" x14ac:dyDescent="0.3">
      <c r="A262" s="28">
        <f>DATE(2013,5,1)</f>
        <v>41395</v>
      </c>
      <c r="B262" s="57">
        <v>188133947</v>
      </c>
      <c r="C262" s="57">
        <v>111144962</v>
      </c>
      <c r="D262" s="80">
        <v>0</v>
      </c>
      <c r="E262" s="57">
        <v>58360</v>
      </c>
      <c r="F262" s="57">
        <v>0</v>
      </c>
      <c r="G262" s="57">
        <v>66113</v>
      </c>
      <c r="H262" s="57">
        <v>57317</v>
      </c>
      <c r="I262" s="57">
        <v>2549</v>
      </c>
    </row>
    <row r="263" spans="1:9" ht="14.4" x14ac:dyDescent="0.3">
      <c r="A263" s="28">
        <f>DATE(2013,6,1)</f>
        <v>41426</v>
      </c>
      <c r="B263" s="57">
        <v>181228036</v>
      </c>
      <c r="C263" s="57">
        <v>104242780</v>
      </c>
      <c r="D263" s="57">
        <v>0</v>
      </c>
      <c r="E263" s="57">
        <v>59265</v>
      </c>
      <c r="F263" s="57">
        <v>0</v>
      </c>
      <c r="G263" s="57">
        <v>39682</v>
      </c>
      <c r="H263" s="57">
        <v>90700</v>
      </c>
      <c r="I263" s="82">
        <v>58235</v>
      </c>
    </row>
    <row r="264" spans="1:9" ht="14.4" x14ac:dyDescent="0.3">
      <c r="A264" s="28">
        <f>DATE(2013,7,1)</f>
        <v>41456</v>
      </c>
      <c r="B264" s="57">
        <v>185039649</v>
      </c>
      <c r="C264" s="57">
        <v>102916019</v>
      </c>
      <c r="D264" s="57">
        <v>3716</v>
      </c>
      <c r="E264" s="57">
        <v>69414</v>
      </c>
      <c r="F264" s="57">
        <v>0</v>
      </c>
      <c r="G264" s="57">
        <v>29603</v>
      </c>
      <c r="H264" s="57">
        <v>101938</v>
      </c>
      <c r="I264" s="57">
        <v>446220</v>
      </c>
    </row>
    <row r="265" spans="1:9" ht="14.4" x14ac:dyDescent="0.3">
      <c r="A265" s="28">
        <f>DATE(2013,8,1)</f>
        <v>41487</v>
      </c>
      <c r="B265" s="57">
        <v>188427031</v>
      </c>
      <c r="C265" s="57">
        <v>103885173</v>
      </c>
      <c r="D265" s="57">
        <v>3211</v>
      </c>
      <c r="E265" s="57">
        <v>82181</v>
      </c>
      <c r="F265" s="57">
        <v>0</v>
      </c>
      <c r="G265" s="57">
        <v>31341</v>
      </c>
      <c r="H265" s="57">
        <v>153731</v>
      </c>
      <c r="I265" s="57">
        <v>120841</v>
      </c>
    </row>
    <row r="266" spans="1:9" ht="14.4" x14ac:dyDescent="0.3">
      <c r="A266" s="28">
        <f>DATE(2013,9,1)</f>
        <v>41518</v>
      </c>
      <c r="B266" s="57">
        <v>174480228</v>
      </c>
      <c r="C266" s="57">
        <v>99086284</v>
      </c>
      <c r="D266" s="80">
        <v>0</v>
      </c>
      <c r="E266" s="57">
        <v>80692</v>
      </c>
      <c r="F266" s="57">
        <v>0</v>
      </c>
      <c r="G266" s="57">
        <v>37548</v>
      </c>
      <c r="H266" s="57">
        <v>0</v>
      </c>
      <c r="I266" s="57">
        <v>232677</v>
      </c>
    </row>
    <row r="267" spans="1:9" ht="14.4" x14ac:dyDescent="0.3">
      <c r="A267" s="28">
        <f>DATE(2013,10,1)</f>
        <v>41548</v>
      </c>
      <c r="B267" s="57">
        <v>181681755</v>
      </c>
      <c r="C267" s="57">
        <v>100841923</v>
      </c>
      <c r="D267" s="80">
        <v>0</v>
      </c>
      <c r="E267" s="57">
        <v>56021</v>
      </c>
      <c r="F267" s="57">
        <v>100</v>
      </c>
      <c r="G267" s="57">
        <v>26674</v>
      </c>
      <c r="H267" s="57">
        <v>119861</v>
      </c>
      <c r="I267" s="57">
        <v>996572</v>
      </c>
    </row>
    <row r="268" spans="1:9" ht="14.4" x14ac:dyDescent="0.3">
      <c r="A268" s="28">
        <f>DATE(2013,11,1)</f>
        <v>41579</v>
      </c>
      <c r="B268" s="57">
        <v>174937440</v>
      </c>
      <c r="C268" s="57">
        <v>96879404</v>
      </c>
      <c r="D268" s="80">
        <v>0</v>
      </c>
      <c r="E268" s="57">
        <v>66892</v>
      </c>
      <c r="F268" s="57">
        <v>0</v>
      </c>
      <c r="G268" s="57">
        <v>25297</v>
      </c>
      <c r="H268" s="57">
        <v>8143</v>
      </c>
      <c r="I268" s="57">
        <v>403419</v>
      </c>
    </row>
    <row r="269" spans="1:9" ht="14.4" x14ac:dyDescent="0.3">
      <c r="A269" s="28">
        <f>DATE(2013,12,1)</f>
        <v>41609</v>
      </c>
      <c r="B269" s="57">
        <v>171011895</v>
      </c>
      <c r="C269" s="57">
        <v>96338679</v>
      </c>
      <c r="D269" s="80">
        <v>0</v>
      </c>
      <c r="E269" s="57">
        <v>47773</v>
      </c>
      <c r="F269" s="57">
        <v>0</v>
      </c>
      <c r="G269" s="57">
        <v>23647</v>
      </c>
      <c r="H269" s="57">
        <v>7529</v>
      </c>
      <c r="I269" s="57">
        <v>15974</v>
      </c>
    </row>
    <row r="270" spans="1:9" ht="14.4" x14ac:dyDescent="0.3">
      <c r="A270" s="28"/>
      <c r="B270" s="80"/>
      <c r="C270" s="80"/>
      <c r="D270" s="80"/>
      <c r="E270" s="80"/>
      <c r="F270" s="35"/>
      <c r="G270" s="80"/>
      <c r="H270" s="80"/>
      <c r="I270" s="80"/>
    </row>
    <row r="271" spans="1:9" ht="14.4" x14ac:dyDescent="0.3">
      <c r="A271" s="95" t="s">
        <v>2</v>
      </c>
      <c r="B271" s="57">
        <f>SUM(B258:B269)</f>
        <v>2122396845</v>
      </c>
      <c r="C271" s="57">
        <f t="shared" ref="C271:E271" si="12">SUM(C258:C269)</f>
        <v>1198491993</v>
      </c>
      <c r="D271" s="57">
        <f t="shared" si="12"/>
        <v>6927</v>
      </c>
      <c r="E271" s="57">
        <f t="shared" si="12"/>
        <v>754584</v>
      </c>
      <c r="F271" s="57">
        <f>SUM(F258:F269)</f>
        <v>6380</v>
      </c>
      <c r="G271" s="57">
        <f>SUM(G258:G269)</f>
        <v>368790</v>
      </c>
      <c r="H271" s="57">
        <f t="shared" ref="H271:I271" si="13">SUM(H258:H269)</f>
        <v>782785</v>
      </c>
      <c r="I271" s="57">
        <f t="shared" si="13"/>
        <v>2671268</v>
      </c>
    </row>
    <row r="273" spans="1:9" ht="28.2" x14ac:dyDescent="0.3">
      <c r="A273" s="96" t="s">
        <v>107</v>
      </c>
      <c r="B273" s="80" t="s">
        <v>166</v>
      </c>
      <c r="C273" s="80" t="s">
        <v>113</v>
      </c>
      <c r="D273" s="80" t="s">
        <v>115</v>
      </c>
      <c r="E273" s="97" t="s">
        <v>116</v>
      </c>
      <c r="F273" s="27" t="s">
        <v>117</v>
      </c>
      <c r="G273" s="27" t="s">
        <v>145</v>
      </c>
      <c r="H273" s="27" t="s">
        <v>119</v>
      </c>
      <c r="I273" s="27" t="s">
        <v>120</v>
      </c>
    </row>
    <row r="274" spans="1:9" ht="14.4" x14ac:dyDescent="0.3">
      <c r="A274" s="28">
        <f>DATE(2014,1,1)</f>
        <v>41640</v>
      </c>
      <c r="B274" s="57">
        <v>163165509</v>
      </c>
      <c r="C274" s="57">
        <v>91160502</v>
      </c>
      <c r="D274" s="57">
        <v>0</v>
      </c>
      <c r="E274" s="82">
        <v>44632</v>
      </c>
      <c r="F274" s="57">
        <v>0</v>
      </c>
      <c r="G274" s="57">
        <v>15530</v>
      </c>
      <c r="H274" s="82">
        <v>0</v>
      </c>
      <c r="I274" s="57">
        <v>0</v>
      </c>
    </row>
    <row r="275" spans="1:9" ht="14.4" x14ac:dyDescent="0.3">
      <c r="A275" s="28">
        <f>DATE(2014,2,1)</f>
        <v>41671</v>
      </c>
      <c r="B275" s="57">
        <v>152436685</v>
      </c>
      <c r="C275" s="57">
        <v>87002000</v>
      </c>
      <c r="D275" s="57">
        <v>0</v>
      </c>
      <c r="E275" s="57">
        <v>75529</v>
      </c>
      <c r="F275" s="57">
        <v>0</v>
      </c>
      <c r="G275" s="57">
        <v>17765</v>
      </c>
      <c r="H275" s="57">
        <v>30551</v>
      </c>
      <c r="I275" s="57">
        <v>14282</v>
      </c>
    </row>
    <row r="276" spans="1:9" ht="14.4" x14ac:dyDescent="0.3">
      <c r="A276" s="28">
        <f>DATE(2014,3,1)</f>
        <v>41699</v>
      </c>
      <c r="B276" s="57">
        <v>172538080</v>
      </c>
      <c r="C276" s="57">
        <v>99147339</v>
      </c>
      <c r="D276" s="80">
        <v>0</v>
      </c>
      <c r="E276" s="57">
        <v>64140</v>
      </c>
      <c r="F276" s="57">
        <v>0</v>
      </c>
      <c r="G276" s="57">
        <v>19287</v>
      </c>
      <c r="H276" s="57">
        <v>22924</v>
      </c>
      <c r="I276" s="57"/>
    </row>
    <row r="277" spans="1:9" ht="14.4" x14ac:dyDescent="0.3">
      <c r="A277" s="28">
        <f>DATE(2014,4,1)</f>
        <v>41730</v>
      </c>
      <c r="B277" s="57">
        <v>177056282</v>
      </c>
      <c r="C277" s="57">
        <v>100600674</v>
      </c>
      <c r="D277" s="80">
        <v>0</v>
      </c>
      <c r="E277" s="57">
        <v>51007</v>
      </c>
      <c r="F277" s="57">
        <v>0</v>
      </c>
      <c r="G277" s="57">
        <v>31709</v>
      </c>
      <c r="H277" s="57">
        <v>48933</v>
      </c>
      <c r="I277" s="57">
        <v>9685</v>
      </c>
    </row>
    <row r="278" spans="1:9" ht="14.4" x14ac:dyDescent="0.3">
      <c r="A278" s="28">
        <f>DATE(2014,5,1)</f>
        <v>41760</v>
      </c>
      <c r="B278" s="57">
        <v>187733441</v>
      </c>
      <c r="C278" s="57">
        <v>111441273</v>
      </c>
      <c r="D278" s="80">
        <v>0</v>
      </c>
      <c r="E278" s="57">
        <v>45415</v>
      </c>
      <c r="F278" s="57">
        <v>0</v>
      </c>
      <c r="G278" s="57">
        <v>40384</v>
      </c>
      <c r="H278" s="57">
        <v>7186</v>
      </c>
      <c r="I278" s="57">
        <v>0</v>
      </c>
    </row>
    <row r="279" spans="1:9" ht="14.4" x14ac:dyDescent="0.3">
      <c r="A279" s="28">
        <f>DATE(2014,6,1)</f>
        <v>41791</v>
      </c>
      <c r="B279" s="57">
        <v>181649762</v>
      </c>
      <c r="C279" s="57">
        <v>106548468</v>
      </c>
      <c r="D279" s="57">
        <v>0</v>
      </c>
      <c r="E279" s="57">
        <v>73063</v>
      </c>
      <c r="F279" s="57">
        <v>0</v>
      </c>
      <c r="G279" s="57">
        <v>40032</v>
      </c>
      <c r="H279" s="57">
        <v>53931</v>
      </c>
      <c r="I279" s="82">
        <v>4540</v>
      </c>
    </row>
    <row r="280" spans="1:9" ht="14.4" x14ac:dyDescent="0.3">
      <c r="A280" s="28">
        <f>DATE(2014,7,1)</f>
        <v>41821</v>
      </c>
      <c r="B280" s="57">
        <v>184147469</v>
      </c>
      <c r="C280" s="57">
        <v>101209876</v>
      </c>
      <c r="D280" s="57">
        <v>0</v>
      </c>
      <c r="E280" s="57">
        <v>277803</v>
      </c>
      <c r="F280" s="57">
        <v>0</v>
      </c>
      <c r="G280" s="57">
        <v>31628</v>
      </c>
      <c r="H280" s="57">
        <v>69183</v>
      </c>
      <c r="I280" s="57">
        <v>89892</v>
      </c>
    </row>
    <row r="281" spans="1:9" ht="14.4" x14ac:dyDescent="0.3">
      <c r="A281" s="28">
        <f>DATE(2014,8,1)</f>
        <v>41852</v>
      </c>
      <c r="B281" s="57">
        <v>184913398</v>
      </c>
      <c r="C281" s="57">
        <v>97829328</v>
      </c>
      <c r="D281" s="57">
        <v>0</v>
      </c>
      <c r="E281" s="57">
        <v>233313</v>
      </c>
      <c r="F281" s="57">
        <v>0</v>
      </c>
      <c r="G281" s="57">
        <v>33859</v>
      </c>
      <c r="H281" s="57">
        <v>0</v>
      </c>
      <c r="I281" s="57">
        <v>0</v>
      </c>
    </row>
    <row r="282" spans="1:9" ht="14.4" x14ac:dyDescent="0.3">
      <c r="A282" s="28">
        <f>DATE(2014,9,1)</f>
        <v>41883</v>
      </c>
      <c r="B282" s="57">
        <v>173993100</v>
      </c>
      <c r="C282" s="57">
        <v>93897088</v>
      </c>
      <c r="D282" s="80">
        <v>0</v>
      </c>
      <c r="E282" s="57">
        <v>58415</v>
      </c>
      <c r="F282" s="57">
        <v>0</v>
      </c>
      <c r="G282" s="57">
        <v>39796</v>
      </c>
      <c r="H282" s="57">
        <v>0</v>
      </c>
      <c r="I282" s="57">
        <v>0</v>
      </c>
    </row>
    <row r="283" spans="1:9" ht="14.4" x14ac:dyDescent="0.3">
      <c r="A283" s="28">
        <f>DATE(2014,10,1)</f>
        <v>41913</v>
      </c>
      <c r="B283" s="57">
        <v>182608976</v>
      </c>
      <c r="C283" s="57">
        <v>102188686</v>
      </c>
      <c r="D283" s="80">
        <v>0</v>
      </c>
      <c r="E283" s="57">
        <v>67144</v>
      </c>
      <c r="F283" s="57">
        <v>0</v>
      </c>
      <c r="G283" s="57">
        <v>38387</v>
      </c>
      <c r="H283" s="57">
        <v>99691</v>
      </c>
      <c r="I283" s="57">
        <v>924375</v>
      </c>
    </row>
    <row r="284" spans="1:9" ht="14.4" x14ac:dyDescent="0.3">
      <c r="A284" s="28">
        <f>DATE(2014,11,1)</f>
        <v>41944</v>
      </c>
      <c r="B284" s="57">
        <v>174558000</v>
      </c>
      <c r="C284" s="57">
        <v>98024055</v>
      </c>
      <c r="D284" s="80">
        <v>0</v>
      </c>
      <c r="E284" s="57">
        <v>39073</v>
      </c>
      <c r="F284" s="57">
        <v>0</v>
      </c>
      <c r="G284" s="57">
        <v>25288</v>
      </c>
      <c r="H284" s="57">
        <v>43266</v>
      </c>
      <c r="I284" s="57">
        <v>222829</v>
      </c>
    </row>
    <row r="285" spans="1:9" ht="14.4" x14ac:dyDescent="0.3">
      <c r="A285" s="28">
        <f>DATE(2014,12,1)</f>
        <v>41974</v>
      </c>
      <c r="B285" s="57">
        <v>180581468</v>
      </c>
      <c r="C285" s="57">
        <v>102949336</v>
      </c>
      <c r="D285" s="80">
        <v>0</v>
      </c>
      <c r="E285" s="57">
        <v>53511</v>
      </c>
      <c r="F285" s="57">
        <v>0</v>
      </c>
      <c r="G285" s="57">
        <v>27988</v>
      </c>
      <c r="H285" s="57">
        <v>3233</v>
      </c>
      <c r="I285" s="57">
        <v>203139</v>
      </c>
    </row>
    <row r="286" spans="1:9" ht="14.4" x14ac:dyDescent="0.3">
      <c r="A286" s="28"/>
      <c r="B286" s="80"/>
      <c r="C286" s="80"/>
      <c r="D286" s="80"/>
      <c r="E286" s="80"/>
      <c r="F286" s="35"/>
      <c r="G286" s="80"/>
      <c r="H286" s="80"/>
      <c r="I286" s="80"/>
    </row>
    <row r="287" spans="1:9" ht="14.4" x14ac:dyDescent="0.3">
      <c r="A287" s="95" t="s">
        <v>2</v>
      </c>
      <c r="B287" s="57">
        <f>SUM(B274:B285)</f>
        <v>2115382170</v>
      </c>
      <c r="C287" s="57">
        <f t="shared" ref="C287:E287" si="14">SUM(C274:C285)</f>
        <v>1191998625</v>
      </c>
      <c r="D287" s="57">
        <f t="shared" si="14"/>
        <v>0</v>
      </c>
      <c r="E287" s="57">
        <f t="shared" si="14"/>
        <v>1083045</v>
      </c>
      <c r="F287" s="57">
        <f>SUM(F274:F285)</f>
        <v>0</v>
      </c>
      <c r="G287" s="57">
        <f>SUM(G274:G285)</f>
        <v>361653</v>
      </c>
      <c r="H287" s="57">
        <f t="shared" ref="H287:I287" si="15">SUM(H274:H285)</f>
        <v>378898</v>
      </c>
      <c r="I287" s="57">
        <f t="shared" si="15"/>
        <v>1468742</v>
      </c>
    </row>
    <row r="289" spans="1:9" ht="28.2" x14ac:dyDescent="0.3">
      <c r="A289" s="96" t="s">
        <v>107</v>
      </c>
      <c r="B289" s="80" t="s">
        <v>166</v>
      </c>
      <c r="C289" s="80" t="s">
        <v>113</v>
      </c>
      <c r="D289" s="80" t="s">
        <v>115</v>
      </c>
      <c r="E289" s="97" t="s">
        <v>116</v>
      </c>
      <c r="F289" s="27" t="s">
        <v>117</v>
      </c>
      <c r="G289" s="27" t="s">
        <v>145</v>
      </c>
      <c r="H289" s="27" t="s">
        <v>119</v>
      </c>
      <c r="I289" s="27" t="s">
        <v>120</v>
      </c>
    </row>
    <row r="290" spans="1:9" ht="14.4" x14ac:dyDescent="0.3">
      <c r="A290" s="28">
        <f>DATE(2015,1,1)</f>
        <v>42005</v>
      </c>
      <c r="B290" s="57">
        <v>171121881</v>
      </c>
      <c r="C290" s="57">
        <v>97799538</v>
      </c>
      <c r="D290" s="57">
        <v>0</v>
      </c>
      <c r="E290" s="82">
        <v>50810</v>
      </c>
      <c r="F290" s="57">
        <v>0</v>
      </c>
      <c r="G290" s="57">
        <v>21820</v>
      </c>
      <c r="H290" s="82">
        <v>0</v>
      </c>
      <c r="I290" s="57">
        <v>0</v>
      </c>
    </row>
    <row r="291" spans="1:9" ht="14.4" x14ac:dyDescent="0.3">
      <c r="A291" s="28">
        <f>DATE(2015,2,1)</f>
        <v>42036</v>
      </c>
      <c r="B291" s="57">
        <v>152002495</v>
      </c>
      <c r="C291" s="57">
        <v>88233323</v>
      </c>
      <c r="D291" s="57">
        <v>0</v>
      </c>
      <c r="E291" s="57">
        <v>57366</v>
      </c>
      <c r="F291" s="57">
        <v>0</v>
      </c>
      <c r="G291" s="57">
        <v>20663</v>
      </c>
      <c r="H291" s="57">
        <v>25563</v>
      </c>
      <c r="I291" s="57">
        <v>30070</v>
      </c>
    </row>
    <row r="292" spans="1:9" ht="14.4" x14ac:dyDescent="0.3">
      <c r="A292" s="28">
        <f>DATE(2015,3,1)</f>
        <v>42064</v>
      </c>
      <c r="B292" s="57">
        <v>176054871</v>
      </c>
      <c r="C292" s="57">
        <v>99078367</v>
      </c>
      <c r="D292" s="80">
        <v>0</v>
      </c>
      <c r="E292" s="57">
        <v>79934</v>
      </c>
      <c r="F292" s="57">
        <v>0</v>
      </c>
      <c r="G292" s="57">
        <v>24563</v>
      </c>
      <c r="H292" s="57">
        <v>38970</v>
      </c>
      <c r="I292" s="57">
        <v>24544</v>
      </c>
    </row>
    <row r="293" spans="1:9" ht="14.4" x14ac:dyDescent="0.3">
      <c r="A293" s="28">
        <f>DATE(2015,4,1)</f>
        <v>42095</v>
      </c>
      <c r="B293" s="57">
        <v>183277126</v>
      </c>
      <c r="C293" s="57">
        <v>96932207</v>
      </c>
      <c r="D293" s="80">
        <v>0</v>
      </c>
      <c r="E293" s="57">
        <v>38218</v>
      </c>
      <c r="F293" s="57">
        <v>0</v>
      </c>
      <c r="G293" s="57">
        <v>32195</v>
      </c>
      <c r="H293" s="57">
        <v>53329</v>
      </c>
      <c r="I293" s="57">
        <v>128567</v>
      </c>
    </row>
    <row r="294" spans="1:9" ht="14.4" x14ac:dyDescent="0.3">
      <c r="A294" s="28">
        <f>DATE(2015,5,1)</f>
        <v>42125</v>
      </c>
      <c r="B294" s="57">
        <v>191673467</v>
      </c>
      <c r="C294" s="57">
        <v>103925129</v>
      </c>
      <c r="D294" s="80">
        <v>0</v>
      </c>
      <c r="E294" s="57">
        <v>59980</v>
      </c>
      <c r="F294" s="57">
        <v>0</v>
      </c>
      <c r="G294" s="57">
        <v>36275</v>
      </c>
      <c r="H294" s="57">
        <v>57178</v>
      </c>
      <c r="I294" s="57">
        <v>10081</v>
      </c>
    </row>
    <row r="295" spans="1:9" ht="14.4" x14ac:dyDescent="0.3">
      <c r="A295" s="28">
        <f>DATE(2015,6,1)</f>
        <v>42156</v>
      </c>
      <c r="B295" s="57">
        <v>187163182</v>
      </c>
      <c r="C295" s="57">
        <v>101823014</v>
      </c>
      <c r="D295" s="57">
        <v>0</v>
      </c>
      <c r="E295" s="57">
        <v>77880</v>
      </c>
      <c r="F295" s="57">
        <v>0</v>
      </c>
      <c r="G295" s="57">
        <v>40788</v>
      </c>
      <c r="H295" s="57">
        <v>0</v>
      </c>
      <c r="I295" s="82">
        <v>0</v>
      </c>
    </row>
    <row r="296" spans="1:9" ht="14.4" x14ac:dyDescent="0.3">
      <c r="A296" s="28">
        <f>DATE(2015,7,1)</f>
        <v>42186</v>
      </c>
      <c r="B296" s="57">
        <v>194553765</v>
      </c>
      <c r="C296" s="57">
        <v>103286719</v>
      </c>
      <c r="D296" s="57">
        <v>0</v>
      </c>
      <c r="E296" s="57">
        <v>54212</v>
      </c>
      <c r="F296" s="57">
        <v>0</v>
      </c>
      <c r="G296" s="57">
        <v>32861</v>
      </c>
      <c r="H296" s="57">
        <v>56345</v>
      </c>
      <c r="I296" s="57">
        <v>460294</v>
      </c>
    </row>
    <row r="297" spans="1:9" ht="14.4" x14ac:dyDescent="0.3">
      <c r="A297" s="28">
        <f>DATE(2015,8,1)</f>
        <v>42217</v>
      </c>
      <c r="B297" s="57">
        <v>195342805</v>
      </c>
      <c r="C297" s="57">
        <v>105418445</v>
      </c>
      <c r="D297" s="57">
        <v>0</v>
      </c>
      <c r="E297" s="57">
        <v>86735</v>
      </c>
      <c r="F297" s="57">
        <v>0</v>
      </c>
      <c r="G297" s="57">
        <v>41774</v>
      </c>
      <c r="H297" s="57">
        <v>72548</v>
      </c>
      <c r="I297" s="57">
        <v>186274</v>
      </c>
    </row>
    <row r="298" spans="1:9" ht="14.4" x14ac:dyDescent="0.3">
      <c r="A298" s="28">
        <f>DATE(2015,9,1)</f>
        <v>42248</v>
      </c>
      <c r="B298" s="57">
        <v>182424361</v>
      </c>
      <c r="C298" s="57">
        <v>98176095</v>
      </c>
      <c r="D298" s="80">
        <v>0</v>
      </c>
      <c r="E298" s="57">
        <v>53124</v>
      </c>
      <c r="F298" s="57">
        <v>0</v>
      </c>
      <c r="G298" s="57">
        <v>43797</v>
      </c>
      <c r="H298" s="57">
        <v>24544</v>
      </c>
      <c r="I298" s="57">
        <v>152749</v>
      </c>
    </row>
    <row r="299" spans="1:9" ht="14.4" x14ac:dyDescent="0.3">
      <c r="A299" s="28">
        <f>DATE(2015,10,1)</f>
        <v>42278</v>
      </c>
      <c r="B299" s="57">
        <v>189337759</v>
      </c>
      <c r="C299" s="57">
        <v>109279088</v>
      </c>
      <c r="D299" s="80">
        <v>0</v>
      </c>
      <c r="E299" s="57">
        <v>57340</v>
      </c>
      <c r="F299" s="57">
        <v>0</v>
      </c>
      <c r="G299" s="57">
        <v>30815</v>
      </c>
      <c r="H299" s="57">
        <v>69447</v>
      </c>
      <c r="I299" s="57">
        <v>1456592</v>
      </c>
    </row>
    <row r="300" spans="1:9" ht="14.4" x14ac:dyDescent="0.3">
      <c r="A300" s="28">
        <f>DATE(2015,11,1)</f>
        <v>42309</v>
      </c>
      <c r="B300" s="57">
        <v>178540285</v>
      </c>
      <c r="C300" s="57">
        <v>97698382</v>
      </c>
      <c r="D300" s="80">
        <v>0</v>
      </c>
      <c r="E300" s="57">
        <v>60625</v>
      </c>
      <c r="F300" s="57">
        <v>0</v>
      </c>
      <c r="G300" s="57">
        <v>26163</v>
      </c>
      <c r="H300" s="57">
        <v>98346</v>
      </c>
      <c r="I300" s="57">
        <v>348606</v>
      </c>
    </row>
    <row r="301" spans="1:9" ht="14.4" x14ac:dyDescent="0.3">
      <c r="A301" s="28">
        <f>DATE(2015,12,1)</f>
        <v>42339</v>
      </c>
      <c r="B301" s="57">
        <v>182522753</v>
      </c>
      <c r="C301" s="57">
        <v>102536256</v>
      </c>
      <c r="D301" s="80">
        <v>0</v>
      </c>
      <c r="E301" s="57">
        <v>55248</v>
      </c>
      <c r="F301" s="57">
        <v>0</v>
      </c>
      <c r="G301" s="57">
        <v>25917</v>
      </c>
      <c r="H301" s="57">
        <v>0</v>
      </c>
      <c r="I301" s="57">
        <v>18233</v>
      </c>
    </row>
    <row r="302" spans="1:9" ht="14.4" x14ac:dyDescent="0.3">
      <c r="A302" s="28"/>
      <c r="B302" s="80"/>
      <c r="C302" s="80"/>
      <c r="D302" s="80"/>
      <c r="E302" s="80"/>
      <c r="F302" s="35"/>
      <c r="G302" s="80"/>
      <c r="H302" s="80"/>
      <c r="I302" s="80"/>
    </row>
    <row r="303" spans="1:9" ht="14.4" x14ac:dyDescent="0.3">
      <c r="A303" s="95" t="s">
        <v>2</v>
      </c>
      <c r="B303" s="57">
        <f>SUM(B290:B301)</f>
        <v>2184014750</v>
      </c>
      <c r="C303" s="57">
        <f t="shared" ref="C303:E303" si="16">SUM(C290:C301)</f>
        <v>1204186563</v>
      </c>
      <c r="D303" s="57">
        <f t="shared" si="16"/>
        <v>0</v>
      </c>
      <c r="E303" s="57">
        <f t="shared" si="16"/>
        <v>731472</v>
      </c>
      <c r="F303" s="57">
        <f>SUM(F290:F301)</f>
        <v>0</v>
      </c>
      <c r="G303" s="57">
        <f>SUM(G290:G301)</f>
        <v>377631</v>
      </c>
      <c r="H303" s="57">
        <f t="shared" ref="H303:I303" si="17">SUM(H290:H301)</f>
        <v>496270</v>
      </c>
      <c r="I303" s="57">
        <f t="shared" si="17"/>
        <v>2816010</v>
      </c>
    </row>
    <row r="304" spans="1:9" s="156" customFormat="1" x14ac:dyDescent="0.3">
      <c r="A304" s="157"/>
    </row>
    <row r="305" spans="1:9" ht="28.2" x14ac:dyDescent="0.3">
      <c r="A305" s="96" t="s">
        <v>107</v>
      </c>
      <c r="B305" s="80" t="s">
        <v>166</v>
      </c>
      <c r="C305" s="80" t="s">
        <v>113</v>
      </c>
      <c r="D305" s="80" t="s">
        <v>115</v>
      </c>
      <c r="E305" s="97" t="s">
        <v>116</v>
      </c>
      <c r="F305" s="27" t="s">
        <v>117</v>
      </c>
      <c r="G305" s="27" t="s">
        <v>145</v>
      </c>
      <c r="H305" s="27" t="s">
        <v>119</v>
      </c>
      <c r="I305" s="27" t="s">
        <v>120</v>
      </c>
    </row>
    <row r="306" spans="1:9" ht="14.4" x14ac:dyDescent="0.3">
      <c r="A306" s="28">
        <f>DATE(2016,1,1)</f>
        <v>42370</v>
      </c>
      <c r="B306" s="57">
        <v>168014571</v>
      </c>
      <c r="C306" s="57">
        <v>90994764</v>
      </c>
      <c r="D306" s="57">
        <v>0</v>
      </c>
      <c r="E306" s="57">
        <v>38755</v>
      </c>
      <c r="F306" s="57">
        <v>0</v>
      </c>
      <c r="G306" s="57">
        <v>17847</v>
      </c>
      <c r="H306" s="57">
        <v>52260</v>
      </c>
      <c r="I306" s="57">
        <v>62929</v>
      </c>
    </row>
    <row r="307" spans="1:9" ht="14.4" x14ac:dyDescent="0.3">
      <c r="A307" s="28">
        <f>DATE(2016,2,1)</f>
        <v>42401</v>
      </c>
      <c r="B307" s="57">
        <v>166662562</v>
      </c>
      <c r="C307" s="57">
        <v>111412204</v>
      </c>
      <c r="D307" s="57">
        <v>0</v>
      </c>
      <c r="E307" s="57">
        <v>79029</v>
      </c>
      <c r="F307" s="57">
        <v>0</v>
      </c>
      <c r="G307" s="57">
        <v>17794</v>
      </c>
      <c r="H307" s="57">
        <v>45115</v>
      </c>
      <c r="I307" s="57">
        <v>83990</v>
      </c>
    </row>
    <row r="308" spans="1:9" ht="14.4" x14ac:dyDescent="0.3">
      <c r="A308" s="28">
        <f>DATE(2016,3,1)</f>
        <v>42430</v>
      </c>
      <c r="B308" s="57">
        <v>187825444</v>
      </c>
      <c r="C308" s="57">
        <v>103881216</v>
      </c>
      <c r="D308" s="80">
        <v>0</v>
      </c>
      <c r="E308" s="57">
        <v>62521</v>
      </c>
      <c r="F308" s="57">
        <v>0</v>
      </c>
      <c r="G308" s="57">
        <v>26188</v>
      </c>
      <c r="H308" s="57">
        <v>48818</v>
      </c>
      <c r="I308" s="57">
        <v>53732</v>
      </c>
    </row>
    <row r="309" spans="1:9" ht="14.4" x14ac:dyDescent="0.3">
      <c r="A309" s="28">
        <f>DATE(2016,4,1)</f>
        <v>42461</v>
      </c>
      <c r="B309" s="57">
        <v>186697133</v>
      </c>
      <c r="C309" s="57">
        <v>124414850</v>
      </c>
      <c r="D309" s="80">
        <v>0</v>
      </c>
      <c r="E309" s="57">
        <v>60567</v>
      </c>
      <c r="F309" s="57">
        <v>0</v>
      </c>
      <c r="G309" s="57">
        <v>26856</v>
      </c>
      <c r="H309" s="57">
        <v>33591</v>
      </c>
      <c r="I309" s="57">
        <v>48059</v>
      </c>
    </row>
    <row r="310" spans="1:9" ht="14.4" x14ac:dyDescent="0.3">
      <c r="A310" s="28">
        <f>DATE(2016,5,1)</f>
        <v>42491</v>
      </c>
      <c r="B310" s="57">
        <v>194055706</v>
      </c>
      <c r="C310" s="57">
        <v>129159521</v>
      </c>
      <c r="D310" s="80">
        <v>0</v>
      </c>
      <c r="E310" s="57">
        <v>57895</v>
      </c>
      <c r="F310" s="57">
        <v>0</v>
      </c>
      <c r="G310" s="57">
        <v>27551</v>
      </c>
      <c r="H310" s="57">
        <v>25393</v>
      </c>
      <c r="I310" s="57">
        <v>34722</v>
      </c>
    </row>
    <row r="311" spans="1:9" ht="14.4" x14ac:dyDescent="0.3">
      <c r="A311" s="28">
        <f>DATE(2016,6,1)</f>
        <v>42522</v>
      </c>
      <c r="B311" s="57">
        <v>194789521</v>
      </c>
      <c r="C311" s="57">
        <v>128226377</v>
      </c>
      <c r="D311" s="57">
        <v>0</v>
      </c>
      <c r="E311" s="141">
        <v>70197</v>
      </c>
      <c r="F311" s="57">
        <v>0</v>
      </c>
      <c r="G311" s="57">
        <v>44250</v>
      </c>
      <c r="H311" s="57">
        <v>3326</v>
      </c>
      <c r="I311" s="82">
        <v>16609</v>
      </c>
    </row>
    <row r="312" spans="1:9" ht="14.4" x14ac:dyDescent="0.3">
      <c r="A312" s="28">
        <f>DATE(2016,7,1)</f>
        <v>42552</v>
      </c>
      <c r="B312" s="57">
        <v>199226659</v>
      </c>
      <c r="C312" s="57">
        <v>129211677</v>
      </c>
      <c r="D312" s="57">
        <v>0</v>
      </c>
      <c r="E312" s="57">
        <v>60808</v>
      </c>
      <c r="F312" s="57">
        <v>0</v>
      </c>
      <c r="G312" s="57">
        <v>29990</v>
      </c>
      <c r="H312" s="57">
        <v>62791</v>
      </c>
      <c r="I312" s="57">
        <v>504347</v>
      </c>
    </row>
    <row r="313" spans="1:9" ht="14.4" x14ac:dyDescent="0.3">
      <c r="A313" s="28">
        <f>DATE(2016,8,1)</f>
        <v>42583</v>
      </c>
      <c r="B313" s="57">
        <v>201097824</v>
      </c>
      <c r="C313" s="57">
        <v>130909803</v>
      </c>
      <c r="D313" s="57">
        <v>0</v>
      </c>
      <c r="E313" s="57">
        <v>90376</v>
      </c>
      <c r="F313" s="57">
        <v>0</v>
      </c>
      <c r="G313" s="57">
        <v>35213</v>
      </c>
      <c r="H313" s="57">
        <v>91738</v>
      </c>
      <c r="I313" s="57">
        <v>96230</v>
      </c>
    </row>
    <row r="314" spans="1:9" ht="14.4" x14ac:dyDescent="0.3">
      <c r="A314" s="28">
        <f>DATE(2016,9,1)</f>
        <v>42614</v>
      </c>
      <c r="B314" s="57">
        <v>191329483</v>
      </c>
      <c r="C314" s="57">
        <v>127891246</v>
      </c>
      <c r="D314" s="80">
        <v>0</v>
      </c>
      <c r="E314" s="57">
        <v>65997</v>
      </c>
      <c r="F314" s="57">
        <v>0</v>
      </c>
      <c r="G314" s="57">
        <v>29263</v>
      </c>
      <c r="H314" s="57">
        <v>1550</v>
      </c>
      <c r="I314" s="57">
        <v>10927</v>
      </c>
    </row>
    <row r="315" spans="1:9" ht="14.4" x14ac:dyDescent="0.3">
      <c r="A315" s="28">
        <f>DATE(2016,10,1)</f>
        <v>42644</v>
      </c>
      <c r="B315" s="57">
        <v>191797562</v>
      </c>
      <c r="C315" s="57">
        <v>122338226</v>
      </c>
      <c r="D315" s="80">
        <v>0</v>
      </c>
      <c r="E315" s="57">
        <v>64896</v>
      </c>
      <c r="F315" s="57">
        <v>0</v>
      </c>
      <c r="G315" s="57">
        <v>23611</v>
      </c>
      <c r="H315" s="57">
        <v>110362</v>
      </c>
      <c r="I315" s="57">
        <v>970120</v>
      </c>
    </row>
    <row r="316" spans="1:9" ht="14.4" x14ac:dyDescent="0.3">
      <c r="A316" s="28">
        <f>DATE(2016,11,1)</f>
        <v>42675</v>
      </c>
      <c r="B316" s="57">
        <v>184976308</v>
      </c>
      <c r="C316" s="57">
        <v>120461748</v>
      </c>
      <c r="D316" s="80">
        <v>0</v>
      </c>
      <c r="E316" s="57">
        <v>63444</v>
      </c>
      <c r="F316" s="57">
        <v>0</v>
      </c>
      <c r="G316" s="57">
        <v>22978</v>
      </c>
      <c r="H316" s="57">
        <v>7831</v>
      </c>
      <c r="I316" s="57">
        <v>0</v>
      </c>
    </row>
    <row r="317" spans="1:9" ht="14.4" x14ac:dyDescent="0.3">
      <c r="A317" s="28">
        <f>DATE(2016,12,1)</f>
        <v>42705</v>
      </c>
      <c r="B317" s="57">
        <v>186942311</v>
      </c>
      <c r="C317" s="57">
        <v>122807553</v>
      </c>
      <c r="D317" s="57">
        <v>0</v>
      </c>
      <c r="E317" s="57">
        <v>66588</v>
      </c>
      <c r="F317" s="57">
        <v>0</v>
      </c>
      <c r="G317" s="57">
        <v>20308</v>
      </c>
      <c r="H317" s="57">
        <v>5846</v>
      </c>
      <c r="I317" s="57">
        <v>0</v>
      </c>
    </row>
    <row r="318" spans="1:9" ht="14.4" x14ac:dyDescent="0.3">
      <c r="A318" s="28"/>
      <c r="B318" s="80"/>
      <c r="C318" s="80"/>
      <c r="D318" s="80"/>
      <c r="E318" s="80"/>
      <c r="F318" s="35"/>
      <c r="G318" s="80"/>
      <c r="H318" s="80"/>
      <c r="I318" s="80"/>
    </row>
    <row r="319" spans="1:9" ht="14.4" x14ac:dyDescent="0.3">
      <c r="A319" s="95" t="s">
        <v>2</v>
      </c>
      <c r="B319" s="57">
        <f t="shared" ref="B319:I319" si="18">SUM(B306:B317)</f>
        <v>2253415084</v>
      </c>
      <c r="C319" s="57">
        <f t="shared" si="18"/>
        <v>1441709185</v>
      </c>
      <c r="D319" s="57">
        <f t="shared" si="18"/>
        <v>0</v>
      </c>
      <c r="E319" s="57">
        <f t="shared" si="18"/>
        <v>781073</v>
      </c>
      <c r="F319" s="57">
        <f t="shared" si="18"/>
        <v>0</v>
      </c>
      <c r="G319" s="57">
        <f t="shared" si="18"/>
        <v>321849</v>
      </c>
      <c r="H319" s="57">
        <f t="shared" si="18"/>
        <v>488621</v>
      </c>
      <c r="I319" s="57">
        <f t="shared" si="18"/>
        <v>1881665</v>
      </c>
    </row>
    <row r="320" spans="1:9" s="156" customFormat="1" x14ac:dyDescent="0.3">
      <c r="A320" s="157"/>
    </row>
    <row r="321" spans="1:9" ht="28.2" x14ac:dyDescent="0.3">
      <c r="A321" s="96" t="s">
        <v>107</v>
      </c>
      <c r="B321" s="80" t="s">
        <v>166</v>
      </c>
      <c r="C321" s="80" t="s">
        <v>113</v>
      </c>
      <c r="D321" s="80" t="s">
        <v>115</v>
      </c>
      <c r="E321" s="97" t="s">
        <v>116</v>
      </c>
      <c r="F321" s="27" t="s">
        <v>117</v>
      </c>
      <c r="G321" s="27" t="s">
        <v>145</v>
      </c>
      <c r="H321" s="27" t="s">
        <v>119</v>
      </c>
      <c r="I321" s="27" t="s">
        <v>120</v>
      </c>
    </row>
    <row r="322" spans="1:9" ht="14.4" x14ac:dyDescent="0.3">
      <c r="A322" s="28">
        <v>42736</v>
      </c>
      <c r="B322" s="57">
        <v>172204217</v>
      </c>
      <c r="C322" s="57">
        <v>113625618</v>
      </c>
      <c r="D322" s="57">
        <v>0</v>
      </c>
      <c r="E322" s="57">
        <v>56735</v>
      </c>
      <c r="F322" s="57">
        <v>0</v>
      </c>
      <c r="G322" s="57">
        <v>14665</v>
      </c>
      <c r="H322" s="57">
        <v>66847</v>
      </c>
      <c r="I322" s="57">
        <v>369431</v>
      </c>
    </row>
    <row r="323" spans="1:9" ht="14.4" x14ac:dyDescent="0.3">
      <c r="A323" s="28">
        <v>42767</v>
      </c>
      <c r="B323" s="57">
        <v>159941769</v>
      </c>
      <c r="C323" s="57">
        <v>103599820</v>
      </c>
      <c r="D323" s="80">
        <v>0</v>
      </c>
      <c r="E323" s="57">
        <v>50038</v>
      </c>
      <c r="F323" s="57">
        <v>0</v>
      </c>
      <c r="G323" s="57">
        <v>15074</v>
      </c>
      <c r="H323" s="57">
        <v>43625</v>
      </c>
      <c r="I323" s="57">
        <v>163377</v>
      </c>
    </row>
    <row r="324" spans="1:9" ht="14.4" x14ac:dyDescent="0.3">
      <c r="A324" s="28">
        <v>42795</v>
      </c>
      <c r="B324" s="57">
        <v>190286991</v>
      </c>
      <c r="C324" s="57">
        <v>126861098</v>
      </c>
      <c r="D324" s="57">
        <v>0</v>
      </c>
      <c r="E324" s="57">
        <v>83001</v>
      </c>
      <c r="F324" s="57">
        <v>0</v>
      </c>
      <c r="G324" s="57">
        <v>27386</v>
      </c>
      <c r="H324" s="57">
        <v>9079</v>
      </c>
      <c r="I324" s="57">
        <v>0</v>
      </c>
    </row>
    <row r="325" spans="1:9" ht="14.4" x14ac:dyDescent="0.3">
      <c r="A325" s="28">
        <v>42826</v>
      </c>
      <c r="B325" s="57">
        <v>185667030</v>
      </c>
      <c r="C325" s="57">
        <v>123673714</v>
      </c>
      <c r="D325" s="80">
        <v>0</v>
      </c>
      <c r="E325" s="57">
        <v>52832</v>
      </c>
      <c r="F325" s="144">
        <v>0</v>
      </c>
      <c r="G325" s="57">
        <v>26994</v>
      </c>
      <c r="H325" s="57">
        <v>64504</v>
      </c>
      <c r="I325" s="57">
        <v>16141</v>
      </c>
    </row>
    <row r="326" spans="1:9" ht="14.4" x14ac:dyDescent="0.3">
      <c r="A326" s="28">
        <v>42856</v>
      </c>
      <c r="B326" s="57">
        <v>196490534</v>
      </c>
      <c r="C326" s="57">
        <v>131924638</v>
      </c>
      <c r="D326" s="80">
        <v>0</v>
      </c>
      <c r="E326" s="57">
        <v>49775</v>
      </c>
      <c r="F326" s="57">
        <v>275</v>
      </c>
      <c r="G326" s="57">
        <v>41991</v>
      </c>
      <c r="H326" s="57">
        <v>24252</v>
      </c>
      <c r="I326" s="57">
        <v>12497</v>
      </c>
    </row>
    <row r="327" spans="1:9" ht="14.4" x14ac:dyDescent="0.3">
      <c r="A327" s="28">
        <v>42887</v>
      </c>
      <c r="B327" s="57">
        <v>194354175</v>
      </c>
      <c r="C327" s="57">
        <v>131261281</v>
      </c>
      <c r="D327" s="57">
        <v>0</v>
      </c>
      <c r="E327" s="141">
        <v>63145</v>
      </c>
      <c r="F327" s="57">
        <v>0</v>
      </c>
      <c r="G327" s="57">
        <v>44970</v>
      </c>
      <c r="H327" s="57">
        <v>13824</v>
      </c>
      <c r="I327" s="82">
        <v>247512</v>
      </c>
    </row>
    <row r="328" spans="1:9" ht="14.4" x14ac:dyDescent="0.3">
      <c r="A328" s="28">
        <v>42917</v>
      </c>
      <c r="B328" s="57">
        <v>196838701</v>
      </c>
      <c r="C328" s="57">
        <v>131145759</v>
      </c>
      <c r="D328" s="57">
        <v>0</v>
      </c>
      <c r="E328" s="57">
        <v>80693</v>
      </c>
      <c r="F328" s="141">
        <v>0</v>
      </c>
      <c r="G328" s="57">
        <v>33071</v>
      </c>
      <c r="H328" s="57">
        <v>118927</v>
      </c>
      <c r="I328" s="57">
        <v>490730</v>
      </c>
    </row>
    <row r="329" spans="1:9" ht="14.4" x14ac:dyDescent="0.3">
      <c r="A329" s="28">
        <v>42948</v>
      </c>
      <c r="B329" s="57">
        <v>203403395</v>
      </c>
      <c r="C329" s="141">
        <v>131124949</v>
      </c>
      <c r="D329" s="57">
        <v>0</v>
      </c>
      <c r="E329" s="57">
        <v>75032</v>
      </c>
      <c r="F329" s="57">
        <v>0</v>
      </c>
      <c r="G329" s="57">
        <v>38458</v>
      </c>
      <c r="H329" s="57">
        <v>23415</v>
      </c>
      <c r="I329" s="57">
        <v>123340</v>
      </c>
    </row>
    <row r="330" spans="1:9" ht="14.4" x14ac:dyDescent="0.3">
      <c r="A330" s="28">
        <v>42979</v>
      </c>
      <c r="B330" s="57">
        <v>184378666</v>
      </c>
      <c r="C330" s="141">
        <v>118298502</v>
      </c>
      <c r="D330" s="80">
        <v>0</v>
      </c>
      <c r="E330" s="57">
        <v>62335</v>
      </c>
      <c r="F330" s="57">
        <v>0</v>
      </c>
      <c r="G330" s="57">
        <v>26262</v>
      </c>
      <c r="H330" s="57">
        <v>12185</v>
      </c>
      <c r="I330" s="57">
        <v>250655</v>
      </c>
    </row>
    <row r="331" spans="1:9" ht="14.4" x14ac:dyDescent="0.3">
      <c r="A331" s="28">
        <v>43009</v>
      </c>
      <c r="B331" s="57">
        <v>193149742</v>
      </c>
      <c r="C331" s="57">
        <v>19643436</v>
      </c>
      <c r="D331" s="80">
        <v>0</v>
      </c>
      <c r="E331" s="57">
        <v>61725</v>
      </c>
      <c r="F331" s="57">
        <v>0</v>
      </c>
      <c r="G331" s="57">
        <v>33369</v>
      </c>
      <c r="H331" s="57">
        <v>0</v>
      </c>
      <c r="I331" s="57">
        <v>0</v>
      </c>
    </row>
    <row r="332" spans="1:9" ht="14.4" x14ac:dyDescent="0.3">
      <c r="A332" s="28">
        <v>43040</v>
      </c>
      <c r="B332" s="57">
        <v>180654262</v>
      </c>
      <c r="C332" s="57">
        <v>18437130</v>
      </c>
      <c r="D332" s="80">
        <v>0</v>
      </c>
      <c r="E332" s="57">
        <v>54867</v>
      </c>
      <c r="F332" s="57">
        <v>0</v>
      </c>
      <c r="G332" s="57">
        <v>23266</v>
      </c>
      <c r="H332" s="57">
        <v>0</v>
      </c>
      <c r="I332" s="57">
        <v>0</v>
      </c>
    </row>
    <row r="333" spans="1:9" ht="14.4" x14ac:dyDescent="0.3">
      <c r="A333" s="28">
        <v>43070</v>
      </c>
      <c r="B333" s="57">
        <v>186619573</v>
      </c>
      <c r="C333" s="57">
        <v>18963425</v>
      </c>
      <c r="D333" s="80">
        <v>0</v>
      </c>
      <c r="E333" s="57">
        <v>30218</v>
      </c>
      <c r="F333" s="57">
        <v>0</v>
      </c>
      <c r="G333" s="57">
        <v>24561</v>
      </c>
      <c r="H333" s="57">
        <v>0</v>
      </c>
      <c r="I333" s="57">
        <v>0</v>
      </c>
    </row>
    <row r="334" spans="1:9" ht="14.4" x14ac:dyDescent="0.3">
      <c r="A334" s="28"/>
      <c r="B334" s="80"/>
      <c r="C334" s="80"/>
      <c r="D334" s="80"/>
      <c r="E334" s="80"/>
      <c r="F334" s="35"/>
      <c r="G334" s="80"/>
      <c r="H334" s="80"/>
      <c r="I334" s="80"/>
    </row>
    <row r="335" spans="1:9" ht="14.4" x14ac:dyDescent="0.3">
      <c r="A335" s="95" t="s">
        <v>2</v>
      </c>
      <c r="B335" s="57">
        <f>SUM(B322:B333)</f>
        <v>2243989055</v>
      </c>
      <c r="C335" s="57">
        <f t="shared" ref="C335:I335" si="19">SUM(C322:C333)</f>
        <v>1168559370</v>
      </c>
      <c r="D335" s="57">
        <f t="shared" si="19"/>
        <v>0</v>
      </c>
      <c r="E335" s="57">
        <f t="shared" si="19"/>
        <v>720396</v>
      </c>
      <c r="F335" s="57">
        <f t="shared" si="19"/>
        <v>275</v>
      </c>
      <c r="G335" s="57">
        <f t="shared" si="19"/>
        <v>350067</v>
      </c>
      <c r="H335" s="57">
        <f t="shared" si="19"/>
        <v>376658</v>
      </c>
      <c r="I335" s="57">
        <f t="shared" si="19"/>
        <v>1673683</v>
      </c>
    </row>
    <row r="336" spans="1:9" s="156" customFormat="1" x14ac:dyDescent="0.3">
      <c r="A336" s="157"/>
    </row>
    <row r="337" spans="1:9" ht="28.2" x14ac:dyDescent="0.3">
      <c r="A337" s="96" t="s">
        <v>107</v>
      </c>
      <c r="B337" s="80" t="s">
        <v>166</v>
      </c>
      <c r="C337" s="80" t="s">
        <v>113</v>
      </c>
      <c r="D337" s="80" t="s">
        <v>115</v>
      </c>
      <c r="E337" s="97" t="s">
        <v>116</v>
      </c>
      <c r="F337" s="27" t="s">
        <v>117</v>
      </c>
      <c r="G337" s="27" t="s">
        <v>145</v>
      </c>
      <c r="H337" s="27" t="s">
        <v>119</v>
      </c>
      <c r="I337" s="27" t="s">
        <v>120</v>
      </c>
    </row>
    <row r="338" spans="1:9" ht="14.4" x14ac:dyDescent="0.3">
      <c r="A338" s="28">
        <f>DATE(2018,1,1)</f>
        <v>43101</v>
      </c>
      <c r="B338" s="57">
        <v>168939494</v>
      </c>
      <c r="C338" s="57">
        <v>17209758</v>
      </c>
      <c r="D338" s="57">
        <v>0</v>
      </c>
      <c r="E338" s="57">
        <v>65278</v>
      </c>
      <c r="F338" s="57">
        <v>0</v>
      </c>
      <c r="G338" s="57">
        <v>24717</v>
      </c>
      <c r="H338" s="57">
        <v>0</v>
      </c>
      <c r="I338" s="57">
        <v>0</v>
      </c>
    </row>
    <row r="339" spans="1:9" ht="14.4" x14ac:dyDescent="0.3">
      <c r="A339" s="28">
        <f>DATE(2018,2,1)</f>
        <v>43132</v>
      </c>
      <c r="B339" s="57">
        <v>161466205</v>
      </c>
      <c r="C339" s="57">
        <v>16395178</v>
      </c>
      <c r="D339" s="80">
        <v>0</v>
      </c>
      <c r="E339" s="57">
        <v>40801</v>
      </c>
      <c r="F339" s="57">
        <v>0</v>
      </c>
      <c r="G339" s="57">
        <v>16354</v>
      </c>
      <c r="H339" s="57">
        <v>242233</v>
      </c>
      <c r="I339" s="57">
        <v>1319907</v>
      </c>
    </row>
    <row r="340" spans="1:9" ht="14.4" x14ac:dyDescent="0.3">
      <c r="A340" s="28">
        <f>DATE(2018,3,1)</f>
        <v>43160</v>
      </c>
      <c r="B340" s="57">
        <v>190449612</v>
      </c>
      <c r="C340" s="57">
        <v>19448248</v>
      </c>
      <c r="D340" s="57">
        <v>0</v>
      </c>
      <c r="E340" s="57">
        <v>45730</v>
      </c>
      <c r="F340" s="57">
        <v>0</v>
      </c>
      <c r="G340" s="57">
        <v>23886</v>
      </c>
      <c r="H340" s="57">
        <v>40264</v>
      </c>
      <c r="I340" s="57">
        <v>32882</v>
      </c>
    </row>
    <row r="341" spans="1:9" ht="14.4" x14ac:dyDescent="0.3">
      <c r="A341" s="28">
        <f>DATE(2018,4,1)</f>
        <v>43191</v>
      </c>
      <c r="B341" s="57">
        <v>183882238</v>
      </c>
      <c r="C341" s="57">
        <v>18847931</v>
      </c>
      <c r="D341" s="80">
        <v>0</v>
      </c>
      <c r="E341" s="57">
        <v>50586</v>
      </c>
      <c r="F341" s="144">
        <v>0</v>
      </c>
      <c r="G341" s="57">
        <v>43263</v>
      </c>
      <c r="H341" s="57">
        <v>24792</v>
      </c>
      <c r="I341" s="57">
        <v>9444</v>
      </c>
    </row>
    <row r="342" spans="1:9" ht="14.4" x14ac:dyDescent="0.3">
      <c r="A342" s="28">
        <f>DATE(2018,5,1)</f>
        <v>43221</v>
      </c>
      <c r="B342" s="57">
        <v>201023708</v>
      </c>
      <c r="C342" s="57">
        <v>20539812</v>
      </c>
      <c r="D342" s="80">
        <v>0</v>
      </c>
      <c r="E342" s="57">
        <v>56053</v>
      </c>
      <c r="F342" s="57">
        <v>0</v>
      </c>
      <c r="G342" s="57">
        <v>48421</v>
      </c>
      <c r="H342" s="57">
        <v>107684</v>
      </c>
      <c r="I342" s="57">
        <v>17755</v>
      </c>
    </row>
    <row r="343" spans="1:9" ht="14.4" x14ac:dyDescent="0.3">
      <c r="A343" s="28">
        <f>DATE(2018,6,1)</f>
        <v>43252</v>
      </c>
      <c r="B343" s="57">
        <v>194098429</v>
      </c>
      <c r="C343" s="57">
        <v>19846212</v>
      </c>
      <c r="D343" s="57">
        <v>0</v>
      </c>
      <c r="E343" s="141">
        <v>43950</v>
      </c>
      <c r="F343" s="57">
        <v>0</v>
      </c>
      <c r="G343" s="57">
        <v>37732</v>
      </c>
      <c r="H343" s="57">
        <v>0</v>
      </c>
      <c r="I343" s="82">
        <v>13009</v>
      </c>
    </row>
    <row r="344" spans="1:9" ht="14.4" x14ac:dyDescent="0.3">
      <c r="A344" s="28">
        <f>DATE(2018,7,1)</f>
        <v>43282</v>
      </c>
      <c r="B344" s="57">
        <v>198242357</v>
      </c>
      <c r="C344" s="57">
        <v>20251615</v>
      </c>
      <c r="D344" s="57">
        <v>0</v>
      </c>
      <c r="E344" s="57">
        <v>48661</v>
      </c>
      <c r="F344" s="141">
        <v>0</v>
      </c>
      <c r="G344" s="57">
        <v>37137</v>
      </c>
      <c r="H344" s="57">
        <v>69946</v>
      </c>
      <c r="I344" s="57">
        <v>341917</v>
      </c>
    </row>
    <row r="345" spans="1:9" ht="14.4" x14ac:dyDescent="0.3">
      <c r="A345" s="28">
        <f>DATE(2018,8,1)</f>
        <v>43313</v>
      </c>
      <c r="B345" s="57">
        <v>202456009</v>
      </c>
      <c r="C345" s="141">
        <v>20708417</v>
      </c>
      <c r="D345" s="57">
        <v>0</v>
      </c>
      <c r="E345" s="57">
        <v>60485</v>
      </c>
      <c r="F345" s="57">
        <v>0</v>
      </c>
      <c r="G345" s="57">
        <v>45341</v>
      </c>
      <c r="H345" s="57">
        <v>73993</v>
      </c>
      <c r="I345" s="57">
        <v>308817</v>
      </c>
    </row>
    <row r="346" spans="1:9" ht="14.4" x14ac:dyDescent="0.3">
      <c r="A346" s="28">
        <f>DATE(2018,9,1)</f>
        <v>43344</v>
      </c>
      <c r="B346" s="57">
        <v>184178666</v>
      </c>
      <c r="C346" s="141">
        <v>18853532</v>
      </c>
      <c r="D346" s="80">
        <v>0</v>
      </c>
      <c r="E346" s="57">
        <v>76224</v>
      </c>
      <c r="F346" s="57">
        <v>0</v>
      </c>
      <c r="G346" s="57">
        <v>34042</v>
      </c>
      <c r="H346" s="57">
        <v>20099</v>
      </c>
      <c r="I346" s="57">
        <v>110822</v>
      </c>
    </row>
    <row r="347" spans="1:9" ht="14.4" x14ac:dyDescent="0.3">
      <c r="A347" s="28">
        <f>DATE(2018,10,1)</f>
        <v>43374</v>
      </c>
      <c r="B347" s="57">
        <v>197411707</v>
      </c>
      <c r="C347" s="57">
        <v>20204462</v>
      </c>
      <c r="D347" s="80">
        <v>0</v>
      </c>
      <c r="E347" s="57">
        <v>46748</v>
      </c>
      <c r="F347" s="57">
        <v>0</v>
      </c>
      <c r="G347" s="57">
        <v>32097</v>
      </c>
      <c r="H347" s="57">
        <v>92098</v>
      </c>
      <c r="I347" s="57">
        <v>1024527</v>
      </c>
    </row>
    <row r="348" spans="1:9" ht="14.4" x14ac:dyDescent="0.3">
      <c r="A348" s="28">
        <f>DATE(2018,11,1)</f>
        <v>43405</v>
      </c>
      <c r="B348" s="57">
        <v>187891361</v>
      </c>
      <c r="C348" s="57">
        <v>19227522</v>
      </c>
      <c r="D348" s="80">
        <v>0</v>
      </c>
      <c r="E348" s="57">
        <v>46950</v>
      </c>
      <c r="F348" s="57">
        <v>0</v>
      </c>
      <c r="G348" s="57">
        <v>25564</v>
      </c>
      <c r="H348" s="57">
        <v>55676</v>
      </c>
      <c r="I348" s="57">
        <v>492334</v>
      </c>
    </row>
    <row r="349" spans="1:9" ht="14.4" x14ac:dyDescent="0.3">
      <c r="A349" s="28">
        <f>DATE(2018,12,1)</f>
        <v>43435</v>
      </c>
      <c r="B349" s="57">
        <v>183928729</v>
      </c>
      <c r="C349" s="153">
        <v>18395200.100000001</v>
      </c>
      <c r="D349" s="80">
        <v>0</v>
      </c>
      <c r="E349" s="57">
        <v>23272</v>
      </c>
      <c r="F349" s="57">
        <v>0</v>
      </c>
      <c r="G349" s="57">
        <v>35761</v>
      </c>
      <c r="H349" s="57">
        <v>96716</v>
      </c>
      <c r="I349" s="57">
        <v>57708</v>
      </c>
    </row>
    <row r="350" spans="1:9" ht="14.4" x14ac:dyDescent="0.3">
      <c r="A350" s="28"/>
      <c r="B350" s="80"/>
      <c r="C350" s="80"/>
      <c r="D350" s="80"/>
      <c r="E350" s="80"/>
      <c r="F350" s="35"/>
      <c r="G350" s="80"/>
      <c r="H350" s="80"/>
      <c r="I350" s="80"/>
    </row>
    <row r="351" spans="1:9" ht="14.4" x14ac:dyDescent="0.3">
      <c r="A351" s="95" t="s">
        <v>2</v>
      </c>
      <c r="B351" s="57">
        <f>SUM(B338:B349)</f>
        <v>2253968515</v>
      </c>
      <c r="C351" s="57">
        <f t="shared" ref="C351:I351" si="20">SUM(C338:C349)</f>
        <v>229927887.09999999</v>
      </c>
      <c r="D351" s="57">
        <f t="shared" si="20"/>
        <v>0</v>
      </c>
      <c r="E351" s="57">
        <f t="shared" si="20"/>
        <v>604738</v>
      </c>
      <c r="F351" s="57">
        <f t="shared" si="20"/>
        <v>0</v>
      </c>
      <c r="G351" s="57">
        <f t="shared" si="20"/>
        <v>404315</v>
      </c>
      <c r="H351" s="57">
        <f t="shared" si="20"/>
        <v>823501</v>
      </c>
      <c r="I351" s="57">
        <f t="shared" si="20"/>
        <v>3729122</v>
      </c>
    </row>
    <row r="352" spans="1:9" s="156" customFormat="1" ht="12.75" customHeight="1" x14ac:dyDescent="0.3">
      <c r="A352" s="154"/>
      <c r="B352" s="155"/>
      <c r="C352" s="155"/>
      <c r="D352" s="155"/>
      <c r="E352" s="155"/>
      <c r="F352" s="155"/>
      <c r="G352" s="155"/>
      <c r="H352" s="155"/>
      <c r="I352" s="155"/>
    </row>
    <row r="353" spans="1:9" ht="28.2" x14ac:dyDescent="0.3">
      <c r="A353" s="96" t="s">
        <v>107</v>
      </c>
      <c r="B353" s="80" t="s">
        <v>166</v>
      </c>
      <c r="C353" s="80" t="s">
        <v>113</v>
      </c>
      <c r="D353" s="80" t="s">
        <v>115</v>
      </c>
      <c r="E353" s="97" t="s">
        <v>116</v>
      </c>
      <c r="F353" s="27" t="s">
        <v>117</v>
      </c>
      <c r="G353" s="27" t="s">
        <v>145</v>
      </c>
      <c r="H353" s="27" t="s">
        <v>119</v>
      </c>
      <c r="I353" s="27" t="s">
        <v>120</v>
      </c>
    </row>
    <row r="354" spans="1:9" ht="14.4" x14ac:dyDescent="0.3">
      <c r="A354" s="28">
        <f>DATE(2019,1,1)</f>
        <v>43466</v>
      </c>
      <c r="B354" s="57">
        <v>173616382</v>
      </c>
      <c r="C354" s="57">
        <v>17367078.600000001</v>
      </c>
      <c r="D354" s="57">
        <v>0</v>
      </c>
      <c r="E354" s="57">
        <v>54404</v>
      </c>
      <c r="F354" s="57">
        <v>0</v>
      </c>
      <c r="G354" s="57">
        <v>24353</v>
      </c>
      <c r="H354" s="57">
        <v>152581</v>
      </c>
      <c r="I354" s="57">
        <v>164908</v>
      </c>
    </row>
    <row r="355" spans="1:9" ht="14.4" x14ac:dyDescent="0.3">
      <c r="A355" s="28">
        <f>DATE(2019,2,1)</f>
        <v>43497</v>
      </c>
      <c r="B355" s="57">
        <v>161940124</v>
      </c>
      <c r="C355" s="57">
        <f>+B355*0.1</f>
        <v>16194012.4</v>
      </c>
      <c r="D355" s="80">
        <v>0</v>
      </c>
      <c r="E355" s="57">
        <v>73039</v>
      </c>
      <c r="F355" s="57">
        <v>0</v>
      </c>
      <c r="G355" s="57">
        <v>17568</v>
      </c>
      <c r="H355" s="57">
        <v>24950</v>
      </c>
      <c r="I355" s="57">
        <v>100056</v>
      </c>
    </row>
    <row r="356" spans="1:9" ht="14.4" x14ac:dyDescent="0.3">
      <c r="A356" s="28">
        <f>DATE(2019,3,1)</f>
        <v>43525</v>
      </c>
      <c r="B356" s="57">
        <v>190434304</v>
      </c>
      <c r="C356" s="57">
        <v>19046847</v>
      </c>
      <c r="D356" s="57">
        <v>0</v>
      </c>
      <c r="E356" s="57">
        <v>34168</v>
      </c>
      <c r="F356" s="57">
        <v>0</v>
      </c>
      <c r="G356" s="57">
        <v>24923</v>
      </c>
      <c r="H356" s="57">
        <v>32984</v>
      </c>
      <c r="I356" s="57">
        <v>24508</v>
      </c>
    </row>
    <row r="357" spans="1:9" ht="14.4" x14ac:dyDescent="0.3">
      <c r="A357" s="28">
        <f>DATE(2019,4,1)</f>
        <v>43556</v>
      </c>
      <c r="B357" s="57">
        <v>188966264</v>
      </c>
      <c r="C357" s="57">
        <f t="shared" ref="C357:C365" si="21">+B357*0.1</f>
        <v>18896626.400000002</v>
      </c>
      <c r="D357" s="80">
        <v>0</v>
      </c>
      <c r="E357" s="57">
        <v>55746</v>
      </c>
      <c r="F357" s="144">
        <v>0</v>
      </c>
      <c r="G357" s="57">
        <v>37362</v>
      </c>
      <c r="H357" s="57">
        <v>72530</v>
      </c>
      <c r="I357" s="57">
        <v>9882</v>
      </c>
    </row>
    <row r="358" spans="1:9" ht="14.4" x14ac:dyDescent="0.3">
      <c r="A358" s="28">
        <f>DATE(2019,5,1)</f>
        <v>43586</v>
      </c>
      <c r="B358" s="57">
        <v>201399930</v>
      </c>
      <c r="C358" s="57">
        <f t="shared" si="21"/>
        <v>20139993</v>
      </c>
      <c r="D358" s="80">
        <v>0</v>
      </c>
      <c r="E358" s="57">
        <v>55120</v>
      </c>
      <c r="F358" s="57">
        <v>0</v>
      </c>
      <c r="G358" s="57">
        <v>50187</v>
      </c>
      <c r="H358" s="57">
        <v>33436</v>
      </c>
      <c r="I358" s="57">
        <v>0</v>
      </c>
    </row>
    <row r="359" spans="1:9" ht="14.4" x14ac:dyDescent="0.3">
      <c r="A359" s="28">
        <f>DATE(2019,6,1)</f>
        <v>43617</v>
      </c>
      <c r="B359" s="57">
        <v>187755508</v>
      </c>
      <c r="C359" s="57">
        <f t="shared" si="21"/>
        <v>18775550.800000001</v>
      </c>
      <c r="D359" s="57">
        <v>0</v>
      </c>
      <c r="E359" s="141">
        <v>55112</v>
      </c>
      <c r="F359" s="57">
        <v>0</v>
      </c>
      <c r="G359" s="57">
        <v>36276</v>
      </c>
      <c r="H359" s="57">
        <v>2413</v>
      </c>
      <c r="I359" s="57">
        <v>0</v>
      </c>
    </row>
    <row r="360" spans="1:9" ht="14.4" x14ac:dyDescent="0.3">
      <c r="A360" s="28">
        <f>DATE(2019,7,1)</f>
        <v>43647</v>
      </c>
      <c r="B360" s="57">
        <v>203448303</v>
      </c>
      <c r="C360" s="57">
        <f t="shared" si="21"/>
        <v>20344830.300000001</v>
      </c>
      <c r="D360" s="57">
        <v>0</v>
      </c>
      <c r="E360" s="57">
        <v>63940</v>
      </c>
      <c r="F360" s="141">
        <v>0</v>
      </c>
      <c r="G360" s="57">
        <v>41048</v>
      </c>
      <c r="H360" s="57">
        <v>48784</v>
      </c>
      <c r="I360" s="57">
        <v>156849</v>
      </c>
    </row>
    <row r="361" spans="1:9" ht="14.4" x14ac:dyDescent="0.3">
      <c r="A361" s="28">
        <f>DATE(2019,8,1)</f>
        <v>43678</v>
      </c>
      <c r="B361" s="57">
        <v>205288469</v>
      </c>
      <c r="C361" s="141">
        <f t="shared" si="21"/>
        <v>20528846.900000002</v>
      </c>
      <c r="D361" s="57">
        <v>0</v>
      </c>
      <c r="E361" s="57">
        <v>37902</v>
      </c>
      <c r="F361" s="57">
        <v>0</v>
      </c>
      <c r="G361" s="57">
        <v>41177</v>
      </c>
      <c r="H361" s="57">
        <v>15142</v>
      </c>
      <c r="I361" s="57">
        <v>261285</v>
      </c>
    </row>
    <row r="362" spans="1:9" ht="14.4" x14ac:dyDescent="0.3">
      <c r="A362" s="28">
        <f>DATE(2019,9,1)</f>
        <v>43709</v>
      </c>
      <c r="B362" s="57">
        <v>188020825</v>
      </c>
      <c r="C362" s="141">
        <f t="shared" si="21"/>
        <v>18802082.5</v>
      </c>
      <c r="D362" s="80">
        <v>0</v>
      </c>
      <c r="E362" s="57">
        <v>35279</v>
      </c>
      <c r="F362" s="57">
        <v>0</v>
      </c>
      <c r="G362" s="57">
        <v>44907</v>
      </c>
      <c r="H362" s="57">
        <v>3264</v>
      </c>
      <c r="I362" s="57">
        <v>56524</v>
      </c>
    </row>
    <row r="363" spans="1:9" ht="14.4" x14ac:dyDescent="0.3">
      <c r="A363" s="28">
        <f>DATE(2019,10,1)</f>
        <v>43739</v>
      </c>
      <c r="B363" s="57">
        <v>195733569</v>
      </c>
      <c r="C363" s="57">
        <f t="shared" si="21"/>
        <v>19573356.900000002</v>
      </c>
      <c r="D363" s="80">
        <v>0</v>
      </c>
      <c r="E363" s="57">
        <v>37193</v>
      </c>
      <c r="F363" s="57">
        <v>0</v>
      </c>
      <c r="G363" s="57">
        <v>32210</v>
      </c>
      <c r="H363" s="57">
        <v>131780</v>
      </c>
      <c r="I363" s="57">
        <v>2033593</v>
      </c>
    </row>
    <row r="364" spans="1:9" ht="14.4" x14ac:dyDescent="0.3">
      <c r="A364" s="28">
        <f>DATE(2019,11,1)</f>
        <v>43770</v>
      </c>
      <c r="B364" s="57">
        <v>186299385</v>
      </c>
      <c r="C364" s="57">
        <f t="shared" si="21"/>
        <v>18629938.5</v>
      </c>
      <c r="D364" s="80">
        <v>0</v>
      </c>
      <c r="E364" s="57">
        <v>18259</v>
      </c>
      <c r="F364" s="57">
        <v>0</v>
      </c>
      <c r="G364" s="57">
        <v>22617</v>
      </c>
      <c r="H364" s="57">
        <v>0</v>
      </c>
      <c r="I364" s="57">
        <v>219779</v>
      </c>
    </row>
    <row r="365" spans="1:9" ht="14.4" x14ac:dyDescent="0.3">
      <c r="A365" s="28">
        <f>DATE(2019,12,1)</f>
        <v>43800</v>
      </c>
      <c r="B365" s="57">
        <v>184011909</v>
      </c>
      <c r="C365" s="153">
        <f t="shared" si="21"/>
        <v>18401190.900000002</v>
      </c>
      <c r="D365" s="80">
        <v>0</v>
      </c>
      <c r="E365" s="57">
        <v>37407</v>
      </c>
      <c r="F365" s="57">
        <v>0</v>
      </c>
      <c r="G365" s="57">
        <v>23329</v>
      </c>
      <c r="H365" s="57">
        <v>56320</v>
      </c>
      <c r="I365" s="57">
        <v>18440</v>
      </c>
    </row>
    <row r="366" spans="1:9" ht="14.4" x14ac:dyDescent="0.3">
      <c r="A366" s="28"/>
      <c r="B366" s="80"/>
      <c r="C366" s="80"/>
      <c r="D366" s="80"/>
      <c r="E366" s="80"/>
      <c r="F366" s="35"/>
      <c r="G366" s="80"/>
      <c r="H366" s="80"/>
      <c r="I366" s="80"/>
    </row>
    <row r="367" spans="1:9" ht="14.4" x14ac:dyDescent="0.3">
      <c r="A367" s="95" t="s">
        <v>2</v>
      </c>
      <c r="B367" s="57">
        <f>SUM(B354:B365)</f>
        <v>2266914972</v>
      </c>
      <c r="C367" s="57">
        <f t="shared" ref="C367:I367" si="22">SUM(C354:C365)</f>
        <v>226700354.20000002</v>
      </c>
      <c r="D367" s="57">
        <f t="shared" si="22"/>
        <v>0</v>
      </c>
      <c r="E367" s="57">
        <f t="shared" si="22"/>
        <v>557569</v>
      </c>
      <c r="F367" s="57">
        <f t="shared" si="22"/>
        <v>0</v>
      </c>
      <c r="G367" s="57">
        <f t="shared" si="22"/>
        <v>395957</v>
      </c>
      <c r="H367" s="57">
        <f t="shared" si="22"/>
        <v>574184</v>
      </c>
      <c r="I367" s="57">
        <f t="shared" si="22"/>
        <v>3045824</v>
      </c>
    </row>
    <row r="369" spans="1:9" ht="28.2" x14ac:dyDescent="0.3">
      <c r="A369" s="96" t="s">
        <v>107</v>
      </c>
      <c r="B369" s="80" t="s">
        <v>166</v>
      </c>
      <c r="C369" s="80" t="s">
        <v>113</v>
      </c>
      <c r="D369" s="80" t="s">
        <v>115</v>
      </c>
      <c r="E369" s="97" t="s">
        <v>116</v>
      </c>
      <c r="F369" s="27" t="s">
        <v>117</v>
      </c>
      <c r="G369" s="27" t="s">
        <v>145</v>
      </c>
      <c r="H369" s="27" t="s">
        <v>119</v>
      </c>
      <c r="I369" s="27" t="s">
        <v>120</v>
      </c>
    </row>
    <row r="370" spans="1:9" ht="14.4" x14ac:dyDescent="0.3">
      <c r="A370" s="28">
        <f>DATE(2020,1,1)</f>
        <v>43831</v>
      </c>
      <c r="B370" s="57">
        <v>177456947</v>
      </c>
      <c r="C370" s="57">
        <f t="shared" ref="C370" si="23">+B370*0.1</f>
        <v>17745694.699999999</v>
      </c>
      <c r="D370" s="57">
        <v>0</v>
      </c>
      <c r="E370" s="57">
        <v>55350</v>
      </c>
      <c r="F370" s="57">
        <v>0</v>
      </c>
      <c r="G370" s="57">
        <v>22924</v>
      </c>
      <c r="H370" s="57">
        <v>50820</v>
      </c>
      <c r="I370" s="57">
        <v>176853</v>
      </c>
    </row>
    <row r="371" spans="1:9" ht="14.4" x14ac:dyDescent="0.3">
      <c r="A371" s="28">
        <f>DATE(2020,2,1)</f>
        <v>43862</v>
      </c>
      <c r="B371" s="57">
        <v>171499774</v>
      </c>
      <c r="C371" s="57">
        <f>+B371*0.1</f>
        <v>17149977.400000002</v>
      </c>
      <c r="D371" s="80">
        <v>0</v>
      </c>
      <c r="E371" s="57">
        <v>34583</v>
      </c>
      <c r="F371" s="57">
        <v>0</v>
      </c>
      <c r="G371" s="57">
        <v>23992</v>
      </c>
      <c r="H371" s="57">
        <v>127558</v>
      </c>
      <c r="I371" s="57">
        <v>103265</v>
      </c>
    </row>
    <row r="372" spans="1:9" ht="14.4" x14ac:dyDescent="0.3">
      <c r="A372" s="28">
        <f>DATE(2020,3,1)</f>
        <v>43891</v>
      </c>
      <c r="B372" s="57">
        <v>168343448</v>
      </c>
      <c r="C372" s="57">
        <f t="shared" ref="C372" si="24">+B372*0.1</f>
        <v>16834344.800000001</v>
      </c>
      <c r="D372" s="57">
        <v>0</v>
      </c>
      <c r="E372" s="57">
        <v>65977</v>
      </c>
      <c r="F372" s="57">
        <v>0</v>
      </c>
      <c r="G372" s="57">
        <v>56970</v>
      </c>
      <c r="H372" s="57">
        <v>39095</v>
      </c>
      <c r="I372" s="57">
        <v>105962</v>
      </c>
    </row>
    <row r="373" spans="1:9" ht="14.4" x14ac:dyDescent="0.3">
      <c r="A373" s="28">
        <f>DATE(2020,4,1)</f>
        <v>43922</v>
      </c>
      <c r="B373" s="57">
        <v>129918286</v>
      </c>
      <c r="C373" s="57">
        <f t="shared" ref="C373:C381" si="25">+B373*0.1</f>
        <v>12991828.600000001</v>
      </c>
      <c r="D373" s="80">
        <v>0</v>
      </c>
      <c r="E373" s="57">
        <v>14238</v>
      </c>
      <c r="F373" s="144">
        <v>0</v>
      </c>
      <c r="G373" s="57">
        <v>52178</v>
      </c>
      <c r="H373" s="57">
        <v>55260</v>
      </c>
      <c r="I373" s="57">
        <v>155503</v>
      </c>
    </row>
    <row r="374" spans="1:9" ht="14.4" x14ac:dyDescent="0.3">
      <c r="A374" s="28">
        <f>DATE(2020,5,1)</f>
        <v>43952</v>
      </c>
      <c r="B374" s="57">
        <v>157122645</v>
      </c>
      <c r="C374" s="57">
        <f t="shared" si="25"/>
        <v>15712264.5</v>
      </c>
      <c r="D374" s="80">
        <v>0</v>
      </c>
      <c r="E374" s="57">
        <v>48317</v>
      </c>
      <c r="F374" s="57">
        <v>0</v>
      </c>
      <c r="G374" s="57">
        <v>31467</v>
      </c>
      <c r="H374" s="57">
        <v>6913</v>
      </c>
      <c r="I374" s="57">
        <v>1500</v>
      </c>
    </row>
    <row r="375" spans="1:9" ht="14.4" x14ac:dyDescent="0.3">
      <c r="A375" s="28">
        <f>DATE(2020,6,1)</f>
        <v>43983</v>
      </c>
      <c r="B375" s="57">
        <v>179078685</v>
      </c>
      <c r="C375" s="57">
        <f t="shared" si="25"/>
        <v>17907868.5</v>
      </c>
      <c r="D375" s="57">
        <v>0</v>
      </c>
      <c r="E375" s="141">
        <v>31414</v>
      </c>
      <c r="F375" s="57">
        <v>0</v>
      </c>
      <c r="G375" s="57">
        <v>44676</v>
      </c>
      <c r="H375" s="57">
        <v>0</v>
      </c>
      <c r="I375" s="57">
        <v>7980</v>
      </c>
    </row>
    <row r="376" spans="1:9" ht="14.4" x14ac:dyDescent="0.3">
      <c r="A376" s="28">
        <f>DATE(2020,7,1)</f>
        <v>44013</v>
      </c>
      <c r="B376" s="57">
        <v>190355702</v>
      </c>
      <c r="C376" s="57">
        <f t="shared" si="25"/>
        <v>19035570.199999999</v>
      </c>
      <c r="D376" s="57">
        <v>0</v>
      </c>
      <c r="E376" s="57">
        <v>70696</v>
      </c>
      <c r="F376" s="141">
        <v>0</v>
      </c>
      <c r="G376" s="57">
        <v>39450</v>
      </c>
      <c r="H376" s="57">
        <v>68456</v>
      </c>
      <c r="I376" s="57">
        <v>510431</v>
      </c>
    </row>
    <row r="377" spans="1:9" ht="14.4" x14ac:dyDescent="0.3">
      <c r="A377" s="28">
        <f>DATE(2020,8,1)</f>
        <v>44044</v>
      </c>
      <c r="B377" s="57">
        <v>184725079</v>
      </c>
      <c r="C377" s="141">
        <f t="shared" si="25"/>
        <v>18472507.900000002</v>
      </c>
      <c r="D377" s="57">
        <v>0</v>
      </c>
      <c r="E377" s="57">
        <v>28172</v>
      </c>
      <c r="F377" s="57">
        <v>0</v>
      </c>
      <c r="G377" s="57">
        <v>42677</v>
      </c>
      <c r="H377" s="57">
        <v>6058</v>
      </c>
      <c r="I377" s="57">
        <v>199318</v>
      </c>
    </row>
    <row r="378" spans="1:9" ht="14.4" x14ac:dyDescent="0.3">
      <c r="A378" s="28">
        <f>DATE(2020,9,1)</f>
        <v>44075</v>
      </c>
      <c r="B378" s="57">
        <v>179055325</v>
      </c>
      <c r="C378" s="141">
        <f t="shared" si="25"/>
        <v>17905532.5</v>
      </c>
      <c r="D378" s="80">
        <v>0</v>
      </c>
      <c r="E378" s="57">
        <v>43901</v>
      </c>
      <c r="F378" s="57">
        <v>0</v>
      </c>
      <c r="G378" s="57">
        <v>43189</v>
      </c>
      <c r="H378" s="57">
        <v>13941</v>
      </c>
      <c r="I378" s="57">
        <v>291053</v>
      </c>
    </row>
    <row r="379" spans="1:9" ht="14.4" x14ac:dyDescent="0.3">
      <c r="A379" s="28">
        <f>DATE(2020,10,1)</f>
        <v>44105</v>
      </c>
      <c r="B379" s="57">
        <v>177646739</v>
      </c>
      <c r="C379" s="57">
        <f t="shared" si="25"/>
        <v>17764673.900000002</v>
      </c>
      <c r="D379" s="80">
        <v>0</v>
      </c>
      <c r="E379" s="57">
        <v>30324</v>
      </c>
      <c r="F379" s="57">
        <v>0</v>
      </c>
      <c r="G379" s="57">
        <v>29376</v>
      </c>
      <c r="H379" s="57">
        <v>130554</v>
      </c>
      <c r="I379" s="57">
        <v>1472699</v>
      </c>
    </row>
    <row r="380" spans="1:9" ht="14.4" x14ac:dyDescent="0.3">
      <c r="A380" s="28">
        <f>DATE(2020,11,1)</f>
        <v>44136</v>
      </c>
      <c r="B380" s="57">
        <v>163513303</v>
      </c>
      <c r="C380" s="57">
        <f t="shared" si="25"/>
        <v>16351330.300000001</v>
      </c>
      <c r="D380" s="80">
        <v>0</v>
      </c>
      <c r="E380" s="57">
        <v>63677</v>
      </c>
      <c r="F380" s="57">
        <v>0</v>
      </c>
      <c r="G380" s="57">
        <v>35206</v>
      </c>
      <c r="H380" s="57">
        <v>11093</v>
      </c>
      <c r="I380" s="57">
        <v>133981</v>
      </c>
    </row>
    <row r="381" spans="1:9" ht="14.4" x14ac:dyDescent="0.3">
      <c r="A381" s="28">
        <f>DATE(2020,12,1)</f>
        <v>44166</v>
      </c>
      <c r="B381" s="57">
        <v>168933091</v>
      </c>
      <c r="C381" s="153">
        <f t="shared" si="25"/>
        <v>16893309.100000001</v>
      </c>
      <c r="D381" s="80">
        <v>0</v>
      </c>
      <c r="E381" s="57">
        <v>39195</v>
      </c>
      <c r="F381" s="57">
        <v>0</v>
      </c>
      <c r="G381" s="57">
        <v>28245</v>
      </c>
      <c r="H381" s="57">
        <v>3737</v>
      </c>
      <c r="I381" s="57">
        <v>305037</v>
      </c>
    </row>
    <row r="382" spans="1:9" ht="14.4" x14ac:dyDescent="0.3">
      <c r="A382" s="28"/>
      <c r="B382" s="80"/>
      <c r="C382" s="80"/>
      <c r="D382" s="80"/>
      <c r="E382" s="80"/>
      <c r="F382" s="35"/>
      <c r="G382" s="80"/>
      <c r="H382" s="80"/>
      <c r="I382" s="80"/>
    </row>
    <row r="383" spans="1:9" ht="14.4" x14ac:dyDescent="0.3">
      <c r="A383" s="95" t="s">
        <v>2</v>
      </c>
      <c r="B383" s="57">
        <f>SUM(B370:B381)</f>
        <v>2047649024</v>
      </c>
      <c r="C383" s="57">
        <f t="shared" ref="C383:I383" si="26">SUM(C370:C381)</f>
        <v>204764902.40000001</v>
      </c>
      <c r="D383" s="57">
        <f t="shared" si="26"/>
        <v>0</v>
      </c>
      <c r="E383" s="57">
        <f t="shared" si="26"/>
        <v>525844</v>
      </c>
      <c r="F383" s="57">
        <f t="shared" si="26"/>
        <v>0</v>
      </c>
      <c r="G383" s="57">
        <f t="shared" si="26"/>
        <v>450350</v>
      </c>
      <c r="H383" s="57">
        <f t="shared" si="26"/>
        <v>513485</v>
      </c>
      <c r="I383" s="57">
        <f t="shared" si="26"/>
        <v>3463582</v>
      </c>
    </row>
    <row r="385" spans="1:9" ht="28.2" x14ac:dyDescent="0.3">
      <c r="A385" s="96" t="s">
        <v>107</v>
      </c>
      <c r="B385" s="80" t="s">
        <v>166</v>
      </c>
      <c r="C385" s="80" t="s">
        <v>113</v>
      </c>
      <c r="D385" s="80" t="s">
        <v>115</v>
      </c>
      <c r="E385" s="97" t="s">
        <v>116</v>
      </c>
      <c r="F385" s="27" t="s">
        <v>117</v>
      </c>
      <c r="G385" s="27" t="s">
        <v>145</v>
      </c>
      <c r="H385" s="27" t="s">
        <v>119</v>
      </c>
      <c r="I385" s="27" t="s">
        <v>120</v>
      </c>
    </row>
    <row r="386" spans="1:9" ht="14.4" x14ac:dyDescent="0.3">
      <c r="A386" s="28">
        <f>DATE(2021,1,1)</f>
        <v>44197</v>
      </c>
      <c r="B386" s="57">
        <v>162766240</v>
      </c>
      <c r="C386" s="57">
        <f t="shared" ref="C386" si="27">+B386*0.1</f>
        <v>16276624</v>
      </c>
      <c r="D386" s="57">
        <v>0</v>
      </c>
      <c r="E386" s="57">
        <v>37078</v>
      </c>
      <c r="F386" s="57">
        <v>0</v>
      </c>
      <c r="G386" s="57">
        <v>28798</v>
      </c>
      <c r="H386" s="57">
        <v>110545</v>
      </c>
      <c r="I386" s="57">
        <v>86155</v>
      </c>
    </row>
    <row r="387" spans="1:9" ht="14.4" x14ac:dyDescent="0.3">
      <c r="A387" s="28">
        <f>DATE(2021,2,1)</f>
        <v>44228</v>
      </c>
      <c r="B387" s="57">
        <v>141134722</v>
      </c>
      <c r="C387" s="57">
        <f>+B387*0.1</f>
        <v>14113472.200000001</v>
      </c>
      <c r="D387" s="80">
        <v>0</v>
      </c>
      <c r="E387" s="57">
        <v>29989</v>
      </c>
      <c r="F387" s="57">
        <v>0</v>
      </c>
      <c r="G387" s="57">
        <v>23169</v>
      </c>
      <c r="H387" s="57">
        <v>85460</v>
      </c>
      <c r="I387" s="57">
        <v>144480</v>
      </c>
    </row>
    <row r="388" spans="1:9" ht="14.4" x14ac:dyDescent="0.3">
      <c r="A388" s="28">
        <f>DATE(2021,3,1)</f>
        <v>44256</v>
      </c>
      <c r="B388" s="57">
        <v>184130441</v>
      </c>
      <c r="C388" s="57">
        <f t="shared" ref="C388:C397" si="28">+B388*0.1</f>
        <v>18413044.100000001</v>
      </c>
      <c r="D388" s="57">
        <v>0</v>
      </c>
      <c r="E388" s="57">
        <v>52624</v>
      </c>
      <c r="F388" s="57">
        <v>0</v>
      </c>
      <c r="G388" s="57">
        <v>36316</v>
      </c>
      <c r="H388" s="57">
        <v>61300</v>
      </c>
      <c r="I388" s="57">
        <v>0</v>
      </c>
    </row>
    <row r="389" spans="1:9" ht="14.4" x14ac:dyDescent="0.3">
      <c r="A389" s="28">
        <f>DATE(2021,4,1)</f>
        <v>44287</v>
      </c>
      <c r="B389" s="57">
        <v>184542332</v>
      </c>
      <c r="C389" s="57">
        <f t="shared" si="28"/>
        <v>18454233.199999999</v>
      </c>
      <c r="D389" s="80">
        <v>0</v>
      </c>
      <c r="E389" s="57">
        <v>39858</v>
      </c>
      <c r="F389" s="144">
        <v>0</v>
      </c>
      <c r="G389" s="57">
        <v>35869</v>
      </c>
      <c r="H389" s="57">
        <v>91222</v>
      </c>
      <c r="I389" s="57">
        <v>281753</v>
      </c>
    </row>
    <row r="390" spans="1:9" ht="14.4" x14ac:dyDescent="0.3">
      <c r="A390" s="28">
        <f>DATE(2021,5,1)</f>
        <v>44317</v>
      </c>
      <c r="B390" s="57">
        <v>196289725</v>
      </c>
      <c r="C390" s="57">
        <f t="shared" si="28"/>
        <v>19628972.5</v>
      </c>
      <c r="D390" s="80">
        <v>0</v>
      </c>
      <c r="E390" s="57">
        <v>40740</v>
      </c>
      <c r="F390" s="57">
        <v>0</v>
      </c>
      <c r="G390" s="57">
        <v>41322</v>
      </c>
      <c r="H390" s="57">
        <v>35457</v>
      </c>
      <c r="I390" s="57">
        <v>9853</v>
      </c>
    </row>
    <row r="391" spans="1:9" ht="14.4" x14ac:dyDescent="0.3">
      <c r="A391" s="28">
        <f>DATE(2021,6,1)</f>
        <v>44348</v>
      </c>
      <c r="B391" s="57">
        <v>193287124</v>
      </c>
      <c r="C391" s="57">
        <f t="shared" si="28"/>
        <v>19328712.400000002</v>
      </c>
      <c r="D391" s="57">
        <v>0</v>
      </c>
      <c r="E391" s="141">
        <v>36780</v>
      </c>
      <c r="F391" s="57">
        <v>0</v>
      </c>
      <c r="G391" s="57">
        <v>43432</v>
      </c>
      <c r="H391" s="57">
        <v>0</v>
      </c>
      <c r="I391" s="57">
        <v>800</v>
      </c>
    </row>
    <row r="392" spans="1:9" ht="14.4" x14ac:dyDescent="0.3">
      <c r="A392" s="28">
        <f>DATE(2021,7,1)</f>
        <v>44378</v>
      </c>
      <c r="B392" s="57">
        <v>200662702</v>
      </c>
      <c r="C392" s="57">
        <f t="shared" si="28"/>
        <v>20066270.199999999</v>
      </c>
      <c r="D392" s="57">
        <v>0</v>
      </c>
      <c r="E392" s="57">
        <v>55767</v>
      </c>
      <c r="F392" s="141">
        <v>0</v>
      </c>
      <c r="G392" s="57">
        <v>38920</v>
      </c>
      <c r="H392" s="57">
        <v>75735</v>
      </c>
      <c r="I392" s="57">
        <v>658891</v>
      </c>
    </row>
    <row r="393" spans="1:9" ht="14.4" x14ac:dyDescent="0.3">
      <c r="A393" s="28">
        <f>DATE(2021,8,1)</f>
        <v>44409</v>
      </c>
      <c r="B393" s="57">
        <v>197137169</v>
      </c>
      <c r="C393" s="141">
        <f t="shared" si="28"/>
        <v>19713716.900000002</v>
      </c>
      <c r="D393" s="57">
        <v>0</v>
      </c>
      <c r="E393" s="57">
        <v>47171</v>
      </c>
      <c r="F393" s="57">
        <v>0</v>
      </c>
      <c r="G393" s="57">
        <v>37661</v>
      </c>
      <c r="H393" s="57">
        <v>13768</v>
      </c>
      <c r="I393" s="57">
        <v>37702</v>
      </c>
    </row>
    <row r="394" spans="1:9" ht="14.4" x14ac:dyDescent="0.3">
      <c r="A394" s="28">
        <f>DATE(2021,9,1)</f>
        <v>44440</v>
      </c>
      <c r="B394" s="57">
        <v>183269160</v>
      </c>
      <c r="C394" s="141">
        <f t="shared" si="28"/>
        <v>18326916</v>
      </c>
      <c r="D394" s="80">
        <v>0</v>
      </c>
      <c r="E394" s="57">
        <v>29900</v>
      </c>
      <c r="F394" s="57">
        <v>0</v>
      </c>
      <c r="G394" s="57">
        <v>40628</v>
      </c>
      <c r="H394" s="57">
        <v>9911</v>
      </c>
      <c r="I394" s="57">
        <v>35007</v>
      </c>
    </row>
    <row r="395" spans="1:9" ht="14.4" x14ac:dyDescent="0.3">
      <c r="A395" s="28">
        <f>DATE(2021,10,1)</f>
        <v>44470</v>
      </c>
      <c r="B395" s="57">
        <v>189442616</v>
      </c>
      <c r="C395" s="57">
        <f t="shared" si="28"/>
        <v>18944261.600000001</v>
      </c>
      <c r="D395" s="80">
        <v>0</v>
      </c>
      <c r="E395" s="57">
        <v>35259</v>
      </c>
      <c r="F395" s="57">
        <v>0</v>
      </c>
      <c r="G395" s="57">
        <v>33027</v>
      </c>
      <c r="H395" s="57">
        <v>103032</v>
      </c>
      <c r="I395" s="57">
        <v>1657107</v>
      </c>
    </row>
    <row r="396" spans="1:9" ht="14.4" x14ac:dyDescent="0.3">
      <c r="A396" s="28">
        <f>DATE(2021,11,1)</f>
        <v>44501</v>
      </c>
      <c r="B396" s="57">
        <v>186127040</v>
      </c>
      <c r="C396" s="57">
        <f t="shared" si="28"/>
        <v>18612704</v>
      </c>
      <c r="D396" s="80">
        <v>0</v>
      </c>
      <c r="E396" s="57">
        <v>23557</v>
      </c>
      <c r="F396" s="57">
        <v>0</v>
      </c>
      <c r="G396" s="57">
        <v>32464</v>
      </c>
      <c r="H396" s="57">
        <v>11494</v>
      </c>
      <c r="I396" s="57">
        <v>205696</v>
      </c>
    </row>
    <row r="397" spans="1:9" ht="14.4" x14ac:dyDescent="0.3">
      <c r="A397" s="28">
        <f>DATE(2021,12,1)</f>
        <v>44531</v>
      </c>
      <c r="B397" s="57">
        <v>187805664</v>
      </c>
      <c r="C397" s="153">
        <f t="shared" si="28"/>
        <v>18780566.400000002</v>
      </c>
      <c r="D397" s="80">
        <v>0</v>
      </c>
      <c r="E397" s="57">
        <v>56371</v>
      </c>
      <c r="F397" s="57">
        <v>0</v>
      </c>
      <c r="G397" s="57">
        <v>28991</v>
      </c>
      <c r="H397" s="57">
        <v>9500</v>
      </c>
      <c r="I397" s="57">
        <v>39301</v>
      </c>
    </row>
    <row r="398" spans="1:9" ht="14.4" x14ac:dyDescent="0.3">
      <c r="A398" s="28"/>
      <c r="B398" s="80"/>
      <c r="C398" s="80"/>
      <c r="D398" s="80"/>
      <c r="E398" s="80"/>
      <c r="F398" s="35"/>
      <c r="G398" s="80"/>
      <c r="H398" s="80"/>
      <c r="I398" s="80"/>
    </row>
    <row r="399" spans="1:9" ht="14.4" x14ac:dyDescent="0.3">
      <c r="A399" s="95" t="s">
        <v>2</v>
      </c>
      <c r="B399" s="57">
        <f>SUM(B386:B397)</f>
        <v>2206594935</v>
      </c>
      <c r="C399" s="57">
        <f t="shared" ref="C399:I399" si="29">SUM(C386:C397)</f>
        <v>220659493.5</v>
      </c>
      <c r="D399" s="57">
        <f t="shared" si="29"/>
        <v>0</v>
      </c>
      <c r="E399" s="57">
        <f t="shared" si="29"/>
        <v>485094</v>
      </c>
      <c r="F399" s="57">
        <f t="shared" si="29"/>
        <v>0</v>
      </c>
      <c r="G399" s="57">
        <f t="shared" si="29"/>
        <v>420597</v>
      </c>
      <c r="H399" s="57">
        <f t="shared" si="29"/>
        <v>607424</v>
      </c>
      <c r="I399" s="57">
        <f t="shared" si="29"/>
        <v>3156745</v>
      </c>
    </row>
    <row r="401" spans="1:9" ht="28.2" x14ac:dyDescent="0.3">
      <c r="A401" s="96" t="s">
        <v>107</v>
      </c>
      <c r="B401" s="80" t="s">
        <v>166</v>
      </c>
      <c r="C401" s="80" t="s">
        <v>113</v>
      </c>
      <c r="D401" s="80" t="s">
        <v>115</v>
      </c>
      <c r="E401" s="97" t="s">
        <v>116</v>
      </c>
      <c r="F401" s="27" t="s">
        <v>117</v>
      </c>
      <c r="G401" s="27" t="s">
        <v>145</v>
      </c>
      <c r="H401" s="27" t="s">
        <v>119</v>
      </c>
      <c r="I401" s="27" t="s">
        <v>120</v>
      </c>
    </row>
    <row r="402" spans="1:9" ht="14.4" x14ac:dyDescent="0.3">
      <c r="A402" s="28">
        <f>DATE(2022,1,1)</f>
        <v>44562</v>
      </c>
      <c r="B402" s="57">
        <v>161081445</v>
      </c>
      <c r="C402" s="57">
        <f t="shared" ref="C402" si="30">+B402*0.1</f>
        <v>16108144.5</v>
      </c>
      <c r="D402" s="57">
        <v>0</v>
      </c>
      <c r="E402" s="57">
        <v>31615</v>
      </c>
      <c r="F402" s="57">
        <v>0</v>
      </c>
      <c r="G402" s="57">
        <v>20574</v>
      </c>
      <c r="H402" s="57">
        <v>69428</v>
      </c>
      <c r="I402" s="57">
        <v>520861</v>
      </c>
    </row>
    <row r="403" spans="1:9" ht="14.4" x14ac:dyDescent="0.3">
      <c r="A403" s="28">
        <f>DATE(2022,2,1)</f>
        <v>44593</v>
      </c>
      <c r="B403" s="57">
        <v>158511844</v>
      </c>
      <c r="C403" s="57">
        <f>+B403*0.1</f>
        <v>15851184.4</v>
      </c>
      <c r="D403" s="80">
        <v>0</v>
      </c>
      <c r="E403" s="57">
        <v>39343</v>
      </c>
      <c r="F403" s="57">
        <v>0</v>
      </c>
      <c r="G403" s="57">
        <v>33197</v>
      </c>
      <c r="H403" s="57">
        <v>66169</v>
      </c>
      <c r="I403" s="57">
        <v>34964</v>
      </c>
    </row>
    <row r="404" spans="1:9" ht="14.4" x14ac:dyDescent="0.3">
      <c r="A404" s="28">
        <f>DATE(2022,3,1)</f>
        <v>44621</v>
      </c>
      <c r="B404" s="57">
        <v>186692297</v>
      </c>
      <c r="C404" s="57">
        <f t="shared" ref="C404:C413" si="31">+B404*0.1</f>
        <v>18669229.699999999</v>
      </c>
      <c r="D404" s="57">
        <v>0</v>
      </c>
      <c r="E404" s="57">
        <v>42531</v>
      </c>
      <c r="F404" s="57">
        <v>0</v>
      </c>
      <c r="G404" s="57">
        <v>38691</v>
      </c>
      <c r="H404" s="57">
        <v>157312</v>
      </c>
      <c r="I404" s="57">
        <v>67647</v>
      </c>
    </row>
    <row r="405" spans="1:9" ht="14.4" x14ac:dyDescent="0.3">
      <c r="A405" s="28">
        <f>DATE(2022,4,1)</f>
        <v>44652</v>
      </c>
      <c r="B405" s="57">
        <v>183674936</v>
      </c>
      <c r="C405" s="57">
        <f t="shared" si="31"/>
        <v>18367493.600000001</v>
      </c>
      <c r="D405" s="80">
        <v>0</v>
      </c>
      <c r="E405" s="57">
        <v>38120</v>
      </c>
      <c r="F405" s="144">
        <v>0</v>
      </c>
      <c r="G405" s="57">
        <v>32062</v>
      </c>
      <c r="H405" s="57">
        <v>81815</v>
      </c>
      <c r="I405" s="57">
        <v>40955</v>
      </c>
    </row>
    <row r="406" spans="1:9" ht="14.4" x14ac:dyDescent="0.3">
      <c r="A406" s="28">
        <f>DATE(2022,5,1)</f>
        <v>44682</v>
      </c>
      <c r="B406" s="57">
        <v>195540959</v>
      </c>
      <c r="C406" s="57">
        <f t="shared" si="31"/>
        <v>19554095.900000002</v>
      </c>
      <c r="D406" s="80">
        <v>0</v>
      </c>
      <c r="E406" s="57">
        <v>57397</v>
      </c>
      <c r="F406" s="57">
        <v>0</v>
      </c>
      <c r="G406" s="57">
        <v>36978</v>
      </c>
      <c r="H406" s="57">
        <v>30026</v>
      </c>
      <c r="I406" s="57">
        <v>32213</v>
      </c>
    </row>
    <row r="407" spans="1:9" ht="14.4" x14ac:dyDescent="0.3">
      <c r="A407" s="28">
        <f>DATE(2022,6,1)</f>
        <v>44713</v>
      </c>
      <c r="B407" s="57">
        <v>190510540</v>
      </c>
      <c r="C407" s="57">
        <f t="shared" si="31"/>
        <v>19051054</v>
      </c>
      <c r="D407" s="57">
        <v>0</v>
      </c>
      <c r="E407" s="141">
        <v>36910</v>
      </c>
      <c r="F407" s="57">
        <v>0</v>
      </c>
      <c r="G407" s="57">
        <v>47287</v>
      </c>
      <c r="H407" s="57">
        <v>0</v>
      </c>
      <c r="I407" s="57">
        <v>3501</v>
      </c>
    </row>
    <row r="408" spans="1:9" ht="14.4" x14ac:dyDescent="0.3">
      <c r="A408" s="28">
        <f>DATE(2022,7,1)</f>
        <v>44743</v>
      </c>
      <c r="B408" s="57">
        <v>188747642</v>
      </c>
      <c r="C408" s="57">
        <f t="shared" si="31"/>
        <v>18874764.199999999</v>
      </c>
      <c r="D408" s="57">
        <v>0</v>
      </c>
      <c r="E408" s="57">
        <v>50133</v>
      </c>
      <c r="F408" s="141">
        <v>0</v>
      </c>
      <c r="G408" s="57">
        <v>27588</v>
      </c>
      <c r="H408" s="57">
        <v>113096</v>
      </c>
      <c r="I408" s="57">
        <v>455384</v>
      </c>
    </row>
    <row r="409" spans="1:9" ht="14.4" x14ac:dyDescent="0.3">
      <c r="A409" s="28">
        <f>DATE(2022,8,1)</f>
        <v>44774</v>
      </c>
      <c r="B409" s="57">
        <v>196203452</v>
      </c>
      <c r="C409" s="141">
        <f t="shared" si="31"/>
        <v>19620345.199999999</v>
      </c>
      <c r="D409" s="57">
        <v>0</v>
      </c>
      <c r="E409" s="57">
        <v>58512</v>
      </c>
      <c r="F409" s="57">
        <v>0</v>
      </c>
      <c r="G409" s="57">
        <v>42661</v>
      </c>
      <c r="H409" s="57">
        <v>31153</v>
      </c>
      <c r="I409" s="57">
        <v>163525</v>
      </c>
    </row>
    <row r="410" spans="1:9" ht="14.4" x14ac:dyDescent="0.3">
      <c r="A410" s="28">
        <f>DATE(2022,9,1)</f>
        <v>44805</v>
      </c>
      <c r="B410" s="57">
        <v>186753900</v>
      </c>
      <c r="C410" s="141">
        <f t="shared" si="31"/>
        <v>18675390</v>
      </c>
      <c r="D410" s="80">
        <v>0</v>
      </c>
      <c r="E410" s="57">
        <v>28590</v>
      </c>
      <c r="F410" s="57">
        <v>0</v>
      </c>
      <c r="G410" s="57">
        <v>36420</v>
      </c>
      <c r="H410" s="57">
        <v>13590</v>
      </c>
      <c r="I410" s="57">
        <v>4636</v>
      </c>
    </row>
    <row r="411" spans="1:9" ht="14.4" x14ac:dyDescent="0.3">
      <c r="A411" s="28">
        <f>DATE(2022,10,1)</f>
        <v>44835</v>
      </c>
      <c r="B411" s="57">
        <v>189943657</v>
      </c>
      <c r="C411" s="57">
        <f t="shared" si="31"/>
        <v>18994365.699999999</v>
      </c>
      <c r="D411" s="80">
        <v>0</v>
      </c>
      <c r="E411" s="57">
        <v>41537</v>
      </c>
      <c r="F411" s="57">
        <v>0</v>
      </c>
      <c r="G411" s="57">
        <v>38724</v>
      </c>
      <c r="H411" s="57">
        <v>62409</v>
      </c>
      <c r="I411" s="57">
        <v>1243549</v>
      </c>
    </row>
    <row r="412" spans="1:9" ht="14.4" x14ac:dyDescent="0.3">
      <c r="A412" s="28">
        <f>DATE(2022,11,1)</f>
        <v>44866</v>
      </c>
      <c r="B412" s="57">
        <v>182719873</v>
      </c>
      <c r="C412" s="57">
        <f t="shared" si="31"/>
        <v>18271987.300000001</v>
      </c>
      <c r="D412" s="80">
        <v>0</v>
      </c>
      <c r="E412" s="57">
        <v>48118</v>
      </c>
      <c r="F412" s="57">
        <v>0</v>
      </c>
      <c r="G412" s="57">
        <v>26998</v>
      </c>
      <c r="H412" s="57">
        <v>103732</v>
      </c>
      <c r="I412" s="57">
        <v>202782</v>
      </c>
    </row>
    <row r="413" spans="1:9" ht="14.4" x14ac:dyDescent="0.3">
      <c r="A413" s="28">
        <f>DATE(2022,12,1)</f>
        <v>44896</v>
      </c>
      <c r="B413" s="57">
        <v>178499144</v>
      </c>
      <c r="C413" s="153">
        <f t="shared" si="31"/>
        <v>17849914.400000002</v>
      </c>
      <c r="D413" s="80">
        <v>0</v>
      </c>
      <c r="E413" s="57">
        <v>45937</v>
      </c>
      <c r="F413" s="57">
        <v>0</v>
      </c>
      <c r="G413" s="57">
        <v>23925</v>
      </c>
      <c r="H413" s="57">
        <v>6828</v>
      </c>
      <c r="I413" s="57">
        <v>111833</v>
      </c>
    </row>
    <row r="414" spans="1:9" ht="14.4" x14ac:dyDescent="0.3">
      <c r="A414" s="28"/>
      <c r="B414" s="80"/>
      <c r="C414" s="80"/>
      <c r="D414" s="80"/>
      <c r="E414" s="80"/>
      <c r="F414" s="35"/>
      <c r="G414" s="80"/>
      <c r="H414" s="80"/>
      <c r="I414" s="80"/>
    </row>
    <row r="415" spans="1:9" ht="14.4" x14ac:dyDescent="0.3">
      <c r="A415" s="95" t="s">
        <v>2</v>
      </c>
      <c r="B415" s="57">
        <f>SUM(B402:B413)</f>
        <v>2198879689</v>
      </c>
      <c r="C415" s="57">
        <f t="shared" ref="C415:I415" si="32">SUM(C402:C413)</f>
        <v>219887968.90000001</v>
      </c>
      <c r="D415" s="57">
        <f t="shared" si="32"/>
        <v>0</v>
      </c>
      <c r="E415" s="57">
        <f t="shared" si="32"/>
        <v>518743</v>
      </c>
      <c r="F415" s="57">
        <f t="shared" si="32"/>
        <v>0</v>
      </c>
      <c r="G415" s="57">
        <f t="shared" si="32"/>
        <v>405105</v>
      </c>
      <c r="H415" s="57">
        <f t="shared" si="32"/>
        <v>735558</v>
      </c>
      <c r="I415" s="57">
        <f t="shared" si="32"/>
        <v>2881850</v>
      </c>
    </row>
    <row r="417" spans="1:9" ht="28.2" x14ac:dyDescent="0.3">
      <c r="A417" s="96" t="s">
        <v>107</v>
      </c>
      <c r="B417" s="80" t="s">
        <v>166</v>
      </c>
      <c r="C417" s="80" t="s">
        <v>113</v>
      </c>
      <c r="D417" s="80" t="s">
        <v>115</v>
      </c>
      <c r="E417" s="97" t="s">
        <v>116</v>
      </c>
      <c r="F417" s="27" t="s">
        <v>117</v>
      </c>
      <c r="G417" s="27" t="s">
        <v>145</v>
      </c>
      <c r="H417" s="27" t="s">
        <v>119</v>
      </c>
      <c r="I417" s="27" t="s">
        <v>120</v>
      </c>
    </row>
    <row r="418" spans="1:9" ht="14.4" x14ac:dyDescent="0.3">
      <c r="A418" s="28">
        <f>DATE(2023,1,1)</f>
        <v>44927</v>
      </c>
      <c r="B418" s="57">
        <v>170367645</v>
      </c>
      <c r="C418" s="57">
        <f t="shared" ref="C418" si="33">+B418*0.1</f>
        <v>17036764.5</v>
      </c>
      <c r="D418" s="57">
        <v>0</v>
      </c>
      <c r="E418" s="57">
        <v>40039</v>
      </c>
      <c r="F418" s="57">
        <v>0</v>
      </c>
      <c r="G418" s="57">
        <v>30309</v>
      </c>
      <c r="H418" s="57">
        <v>89764</v>
      </c>
      <c r="I418" s="57">
        <v>207364</v>
      </c>
    </row>
    <row r="419" spans="1:9" ht="14.4" x14ac:dyDescent="0.3">
      <c r="A419" s="28">
        <f>DATE(2023,2,1)</f>
        <v>44958</v>
      </c>
      <c r="B419" s="57">
        <v>163069759</v>
      </c>
      <c r="C419" s="57">
        <f>+B419*0.1</f>
        <v>16306975.9</v>
      </c>
      <c r="D419" s="80">
        <v>0</v>
      </c>
      <c r="E419" s="57">
        <v>31107</v>
      </c>
      <c r="F419" s="57">
        <v>0</v>
      </c>
      <c r="G419" s="57">
        <v>32556</v>
      </c>
      <c r="H419" s="57">
        <v>0</v>
      </c>
      <c r="I419" s="57">
        <v>8679</v>
      </c>
    </row>
    <row r="420" spans="1:9" ht="14.4" x14ac:dyDescent="0.3">
      <c r="A420" s="28">
        <f>DATE(2023,3,1)</f>
        <v>44986</v>
      </c>
      <c r="B420" s="57">
        <v>192435082</v>
      </c>
      <c r="C420" s="57">
        <f t="shared" ref="C420:C429" si="34">+B420*0.1</f>
        <v>19243508.199999999</v>
      </c>
      <c r="D420" s="57">
        <v>0</v>
      </c>
      <c r="E420" s="57">
        <v>55645</v>
      </c>
      <c r="F420" s="57">
        <v>0</v>
      </c>
      <c r="G420" s="57">
        <v>38986</v>
      </c>
      <c r="H420" s="57">
        <v>20065</v>
      </c>
      <c r="I420" s="57">
        <v>12186</v>
      </c>
    </row>
    <row r="421" spans="1:9" ht="14.4" x14ac:dyDescent="0.3">
      <c r="A421" s="28">
        <f>DATE(2023,4,1)</f>
        <v>45017</v>
      </c>
      <c r="B421" s="57">
        <v>186853596</v>
      </c>
      <c r="C421" s="57">
        <f t="shared" si="34"/>
        <v>18685359.600000001</v>
      </c>
      <c r="D421" s="80">
        <v>0</v>
      </c>
      <c r="E421" s="57">
        <v>43847</v>
      </c>
      <c r="F421" s="144">
        <v>0</v>
      </c>
      <c r="G421" s="57">
        <v>51171</v>
      </c>
      <c r="H421" s="57">
        <v>15722</v>
      </c>
      <c r="I421" s="57">
        <v>72579</v>
      </c>
    </row>
    <row r="422" spans="1:9" ht="14.4" x14ac:dyDescent="0.3">
      <c r="A422" s="28">
        <f>DATE(2023,5,1)</f>
        <v>45047</v>
      </c>
      <c r="B422" s="57">
        <v>197895003</v>
      </c>
      <c r="C422" s="57">
        <f t="shared" si="34"/>
        <v>19789500.300000001</v>
      </c>
      <c r="D422" s="80">
        <v>0</v>
      </c>
      <c r="E422" s="57">
        <v>39519</v>
      </c>
      <c r="F422" s="57">
        <v>0</v>
      </c>
      <c r="G422" s="57">
        <v>70865</v>
      </c>
      <c r="H422" s="57">
        <v>98645</v>
      </c>
      <c r="I422" s="57">
        <v>958</v>
      </c>
    </row>
    <row r="423" spans="1:9" ht="14.4" x14ac:dyDescent="0.3">
      <c r="A423" s="28">
        <f>DATE(2023,6,1)</f>
        <v>45078</v>
      </c>
      <c r="B423" s="57">
        <v>189223102</v>
      </c>
      <c r="C423" s="57">
        <f t="shared" si="34"/>
        <v>18922310.199999999</v>
      </c>
      <c r="D423" s="57">
        <v>0</v>
      </c>
      <c r="E423" s="141">
        <v>42810</v>
      </c>
      <c r="F423" s="57">
        <v>0</v>
      </c>
      <c r="G423" s="57">
        <v>62497</v>
      </c>
      <c r="H423" s="57">
        <v>2846</v>
      </c>
      <c r="I423" s="57">
        <v>9615</v>
      </c>
    </row>
    <row r="424" spans="1:9" ht="14.4" x14ac:dyDescent="0.3">
      <c r="A424" s="28">
        <f>DATE(2023,7,1)</f>
        <v>45108</v>
      </c>
      <c r="B424" s="57">
        <v>193914283</v>
      </c>
      <c r="C424" s="57">
        <f t="shared" si="34"/>
        <v>19391428.300000001</v>
      </c>
      <c r="D424" s="57">
        <v>0</v>
      </c>
      <c r="E424" s="57">
        <v>44894</v>
      </c>
      <c r="F424" s="141">
        <v>0</v>
      </c>
      <c r="G424" s="57">
        <v>55871</v>
      </c>
      <c r="H424" s="57">
        <v>72905</v>
      </c>
      <c r="I424" s="57">
        <v>470597</v>
      </c>
    </row>
    <row r="425" spans="1:9" ht="14.4" x14ac:dyDescent="0.3">
      <c r="A425" s="28">
        <f>DATE(2023,8,1)</f>
        <v>45139</v>
      </c>
      <c r="B425" s="57">
        <v>197584759</v>
      </c>
      <c r="C425" s="141">
        <f t="shared" si="34"/>
        <v>19758475.900000002</v>
      </c>
      <c r="D425" s="57">
        <v>0</v>
      </c>
      <c r="E425" s="57">
        <v>46858</v>
      </c>
      <c r="F425" s="57">
        <v>0</v>
      </c>
      <c r="G425" s="57">
        <v>54483</v>
      </c>
      <c r="H425" s="57">
        <v>79480</v>
      </c>
      <c r="I425" s="57">
        <v>259164</v>
      </c>
    </row>
    <row r="426" spans="1:9" ht="14.4" x14ac:dyDescent="0.3">
      <c r="A426" s="28">
        <f>DATE(2023,9,1)</f>
        <v>45170</v>
      </c>
      <c r="B426" s="57">
        <v>186564552</v>
      </c>
      <c r="C426" s="141">
        <f t="shared" si="34"/>
        <v>18656455.199999999</v>
      </c>
      <c r="D426" s="80">
        <v>0</v>
      </c>
      <c r="E426" s="57">
        <v>49075</v>
      </c>
      <c r="F426" s="57">
        <v>0</v>
      </c>
      <c r="G426" s="57">
        <v>54745</v>
      </c>
      <c r="H426" s="57">
        <v>1663</v>
      </c>
      <c r="I426" s="57">
        <v>281669</v>
      </c>
    </row>
    <row r="427" spans="1:9" ht="14.4" x14ac:dyDescent="0.3">
      <c r="A427" s="28">
        <f>DATE(2023,10,1)</f>
        <v>45200</v>
      </c>
      <c r="B427" s="57">
        <v>189857620</v>
      </c>
      <c r="C427" s="57">
        <f t="shared" si="34"/>
        <v>18985762</v>
      </c>
      <c r="D427" s="80">
        <v>0</v>
      </c>
      <c r="E427" s="57">
        <v>26161</v>
      </c>
      <c r="F427" s="57">
        <v>0</v>
      </c>
      <c r="G427" s="57">
        <v>49668</v>
      </c>
      <c r="H427" s="57">
        <v>88926</v>
      </c>
      <c r="I427" s="57">
        <v>1033503</v>
      </c>
    </row>
    <row r="428" spans="1:9" ht="14.4" x14ac:dyDescent="0.3">
      <c r="A428" s="28">
        <f>DATE(2023,11,1)</f>
        <v>45231</v>
      </c>
      <c r="B428" s="57">
        <v>183748929</v>
      </c>
      <c r="C428" s="57">
        <f t="shared" si="34"/>
        <v>18374892.900000002</v>
      </c>
      <c r="D428" s="80">
        <v>0</v>
      </c>
      <c r="E428" s="57">
        <v>46531</v>
      </c>
      <c r="F428" s="57">
        <v>0</v>
      </c>
      <c r="G428" s="57">
        <v>41510</v>
      </c>
      <c r="H428" s="57">
        <v>69242</v>
      </c>
      <c r="I428" s="57">
        <v>257161</v>
      </c>
    </row>
    <row r="429" spans="1:9" ht="14.4" x14ac:dyDescent="0.3">
      <c r="A429" s="28">
        <f>DATE(2023,12,1)</f>
        <v>45261</v>
      </c>
      <c r="B429" s="57">
        <v>182497331</v>
      </c>
      <c r="C429" s="153">
        <f t="shared" si="34"/>
        <v>18249733.100000001</v>
      </c>
      <c r="D429" s="80">
        <v>0</v>
      </c>
      <c r="E429" s="57">
        <v>36156</v>
      </c>
      <c r="F429" s="57">
        <v>0</v>
      </c>
      <c r="G429" s="57">
        <v>44493</v>
      </c>
      <c r="H429" s="57">
        <v>0</v>
      </c>
      <c r="I429" s="57">
        <v>84332</v>
      </c>
    </row>
    <row r="430" spans="1:9" ht="14.4" x14ac:dyDescent="0.3">
      <c r="A430" s="28"/>
      <c r="B430" s="80"/>
      <c r="C430" s="80"/>
      <c r="D430" s="80"/>
      <c r="E430" s="80"/>
      <c r="F430" s="35"/>
      <c r="G430" s="80"/>
      <c r="H430" s="80"/>
      <c r="I430" s="80"/>
    </row>
    <row r="431" spans="1:9" ht="14.4" x14ac:dyDescent="0.3">
      <c r="A431" s="95" t="s">
        <v>2</v>
      </c>
      <c r="B431" s="57">
        <f>SUM(B418:B429)</f>
        <v>2234011661</v>
      </c>
      <c r="C431" s="57">
        <f t="shared" ref="C431:I431" si="35">SUM(C418:C429)</f>
        <v>223401166.09999996</v>
      </c>
      <c r="D431" s="57">
        <f t="shared" si="35"/>
        <v>0</v>
      </c>
      <c r="E431" s="57">
        <f t="shared" si="35"/>
        <v>502642</v>
      </c>
      <c r="F431" s="57">
        <f t="shared" si="35"/>
        <v>0</v>
      </c>
      <c r="G431" s="57">
        <f t="shared" si="35"/>
        <v>587154</v>
      </c>
      <c r="H431" s="57">
        <f t="shared" si="35"/>
        <v>539258</v>
      </c>
      <c r="I431" s="57">
        <f t="shared" si="35"/>
        <v>2697807</v>
      </c>
    </row>
    <row r="433" spans="1:9" ht="28.2" x14ac:dyDescent="0.3">
      <c r="A433" s="96" t="s">
        <v>107</v>
      </c>
      <c r="B433" s="80" t="s">
        <v>166</v>
      </c>
      <c r="C433" s="80" t="s">
        <v>113</v>
      </c>
      <c r="D433" s="80" t="s">
        <v>115</v>
      </c>
      <c r="E433" s="97" t="s">
        <v>116</v>
      </c>
      <c r="F433" s="27" t="s">
        <v>117</v>
      </c>
      <c r="G433" s="27" t="s">
        <v>145</v>
      </c>
      <c r="H433" s="27" t="s">
        <v>119</v>
      </c>
      <c r="I433" s="27" t="s">
        <v>120</v>
      </c>
    </row>
    <row r="434" spans="1:9" ht="14.4" x14ac:dyDescent="0.3">
      <c r="A434" s="28">
        <f>DATE(2024,1,1)</f>
        <v>45292</v>
      </c>
      <c r="B434" s="57">
        <v>167080911</v>
      </c>
      <c r="C434" s="57">
        <f t="shared" ref="C434" si="36">+B434*0.1</f>
        <v>16708091.100000001</v>
      </c>
      <c r="D434" s="57">
        <v>0</v>
      </c>
      <c r="E434" s="57">
        <v>48652</v>
      </c>
      <c r="F434" s="57">
        <v>0</v>
      </c>
      <c r="G434" s="57">
        <v>38707</v>
      </c>
      <c r="H434" s="57">
        <v>238541</v>
      </c>
      <c r="I434" s="57">
        <v>181763</v>
      </c>
    </row>
    <row r="435" spans="1:9" ht="14.4" x14ac:dyDescent="0.3">
      <c r="A435" s="28">
        <f>DATE(2024,2,1)</f>
        <v>45323</v>
      </c>
      <c r="B435" s="57">
        <v>168886084</v>
      </c>
      <c r="C435" s="57">
        <f>+B435*0.1</f>
        <v>16888608.400000002</v>
      </c>
      <c r="D435" s="80">
        <v>0</v>
      </c>
      <c r="E435" s="57">
        <v>43949</v>
      </c>
      <c r="F435" s="57">
        <v>0</v>
      </c>
      <c r="G435" s="57">
        <v>40864</v>
      </c>
      <c r="H435" s="57">
        <v>58852</v>
      </c>
      <c r="I435" s="57">
        <v>0</v>
      </c>
    </row>
    <row r="436" spans="1:9" ht="14.4" x14ac:dyDescent="0.3">
      <c r="A436" s="28">
        <f>DATE(2024,3,1)</f>
        <v>45352</v>
      </c>
      <c r="B436" s="57">
        <v>191100527</v>
      </c>
      <c r="C436" s="57">
        <f t="shared" ref="C436:C445" si="37">+B436*0.1</f>
        <v>19110052.699999999</v>
      </c>
      <c r="D436" s="57">
        <v>0</v>
      </c>
      <c r="E436" s="57">
        <v>34806</v>
      </c>
      <c r="F436" s="57">
        <v>0</v>
      </c>
      <c r="G436" s="57">
        <v>46009</v>
      </c>
      <c r="H436" s="57">
        <v>30687</v>
      </c>
      <c r="I436" s="57">
        <v>72313</v>
      </c>
    </row>
    <row r="437" spans="1:9" ht="14.4" x14ac:dyDescent="0.3">
      <c r="A437" s="28">
        <f>DATE(2024,4,1)</f>
        <v>45383</v>
      </c>
      <c r="B437" s="57">
        <v>187876848</v>
      </c>
      <c r="C437" s="57">
        <f t="shared" si="37"/>
        <v>18787684.800000001</v>
      </c>
      <c r="D437" s="80">
        <v>0</v>
      </c>
      <c r="E437" s="57">
        <v>45921</v>
      </c>
      <c r="F437" s="144">
        <v>0</v>
      </c>
      <c r="G437" s="57">
        <v>66355</v>
      </c>
      <c r="H437" s="57">
        <v>83124</v>
      </c>
      <c r="I437" s="57">
        <v>18761</v>
      </c>
    </row>
    <row r="438" spans="1:9" ht="14.4" x14ac:dyDescent="0.3">
      <c r="A438" s="28">
        <f>DATE(2024,5,1)</f>
        <v>45413</v>
      </c>
      <c r="B438" s="57">
        <v>198847152</v>
      </c>
      <c r="C438" s="57">
        <f t="shared" si="37"/>
        <v>19884715.199999999</v>
      </c>
      <c r="D438" s="80">
        <v>0</v>
      </c>
      <c r="E438" s="57">
        <v>40611</v>
      </c>
      <c r="F438" s="57">
        <v>0</v>
      </c>
      <c r="G438" s="57">
        <v>72064</v>
      </c>
      <c r="H438" s="57">
        <v>112616</v>
      </c>
      <c r="I438" s="57">
        <v>42677</v>
      </c>
    </row>
    <row r="439" spans="1:9" ht="14.4" x14ac:dyDescent="0.3">
      <c r="A439" s="28">
        <f>DATE(2024,6,1)</f>
        <v>45444</v>
      </c>
      <c r="B439" s="57">
        <v>189991216</v>
      </c>
      <c r="C439" s="57">
        <f t="shared" si="37"/>
        <v>18999121.600000001</v>
      </c>
      <c r="D439" s="57">
        <v>0</v>
      </c>
      <c r="E439" s="141">
        <v>51911</v>
      </c>
      <c r="F439" s="57">
        <v>0</v>
      </c>
      <c r="G439" s="57">
        <v>66169</v>
      </c>
      <c r="H439" s="57">
        <v>50100</v>
      </c>
      <c r="I439" s="57">
        <v>16746</v>
      </c>
    </row>
    <row r="440" spans="1:9" ht="14.4" x14ac:dyDescent="0.3">
      <c r="A440" s="28">
        <f>DATE(2024,7,1)</f>
        <v>45474</v>
      </c>
      <c r="B440" s="57">
        <v>196025173</v>
      </c>
      <c r="C440" s="57">
        <f t="shared" si="37"/>
        <v>19602517.300000001</v>
      </c>
      <c r="D440" s="57">
        <v>0</v>
      </c>
      <c r="E440" s="57">
        <v>40187</v>
      </c>
      <c r="F440" s="141">
        <v>0</v>
      </c>
      <c r="G440" s="57">
        <v>62639</v>
      </c>
      <c r="H440" s="57">
        <v>94998</v>
      </c>
      <c r="I440" s="57">
        <v>481587</v>
      </c>
    </row>
    <row r="441" spans="1:9" ht="14.4" x14ac:dyDescent="0.3">
      <c r="A441" s="28">
        <f>DATE(2024,8,1)</f>
        <v>45505</v>
      </c>
      <c r="B441" s="57">
        <v>199771849</v>
      </c>
      <c r="C441" s="141">
        <f t="shared" si="37"/>
        <v>19977184.900000002</v>
      </c>
      <c r="D441" s="57">
        <v>0</v>
      </c>
      <c r="E441" s="57">
        <v>50655</v>
      </c>
      <c r="F441" s="57">
        <v>0</v>
      </c>
      <c r="G441" s="57">
        <v>71352</v>
      </c>
      <c r="H441" s="57">
        <v>14709</v>
      </c>
      <c r="I441" s="57">
        <v>97365</v>
      </c>
    </row>
    <row r="442" spans="1:9" ht="14.4" x14ac:dyDescent="0.3">
      <c r="A442" s="28">
        <f>DATE(2024,9,1)</f>
        <v>45536</v>
      </c>
      <c r="B442" s="57">
        <v>182410420</v>
      </c>
      <c r="C442" s="141">
        <f t="shared" si="37"/>
        <v>18241042</v>
      </c>
      <c r="D442" s="80">
        <v>0</v>
      </c>
      <c r="E442" s="57">
        <v>31861</v>
      </c>
      <c r="F442" s="57">
        <v>0</v>
      </c>
      <c r="G442" s="57">
        <v>53224</v>
      </c>
      <c r="H442" s="57">
        <v>67989</v>
      </c>
      <c r="I442" s="57">
        <v>174736</v>
      </c>
    </row>
    <row r="443" spans="1:9" ht="14.4" x14ac:dyDescent="0.3">
      <c r="A443" s="28">
        <f>DATE(2024,10,1)</f>
        <v>45566</v>
      </c>
      <c r="B443" s="57">
        <v>196227226</v>
      </c>
      <c r="C443" s="57">
        <f t="shared" si="37"/>
        <v>19622722.600000001</v>
      </c>
      <c r="D443" s="80">
        <v>0</v>
      </c>
      <c r="E443" s="57">
        <v>53205</v>
      </c>
      <c r="F443" s="57">
        <v>0</v>
      </c>
      <c r="G443" s="57">
        <v>64061</v>
      </c>
      <c r="H443" s="57">
        <v>177508</v>
      </c>
      <c r="I443" s="57">
        <v>1187904</v>
      </c>
    </row>
    <row r="444" spans="1:9" ht="14.4" x14ac:dyDescent="0.3">
      <c r="A444" s="28">
        <f>DATE(2024,11,1)</f>
        <v>45597</v>
      </c>
      <c r="B444" s="57">
        <v>180342836</v>
      </c>
      <c r="C444" s="57">
        <f t="shared" si="37"/>
        <v>18034283.600000001</v>
      </c>
      <c r="D444" s="80">
        <v>0</v>
      </c>
      <c r="E444" s="57">
        <v>42516</v>
      </c>
      <c r="F444" s="57">
        <v>0</v>
      </c>
      <c r="G444" s="57">
        <v>29080</v>
      </c>
      <c r="H444" s="57">
        <v>31527</v>
      </c>
      <c r="I444" s="57">
        <v>67439</v>
      </c>
    </row>
    <row r="445" spans="1:9" ht="14.4" x14ac:dyDescent="0.3">
      <c r="A445" s="28">
        <f>DATE(2024,12,1)</f>
        <v>45627</v>
      </c>
      <c r="B445" s="57">
        <v>185612951</v>
      </c>
      <c r="C445" s="153">
        <f t="shared" si="37"/>
        <v>18561295.100000001</v>
      </c>
      <c r="D445" s="80">
        <v>0</v>
      </c>
      <c r="E445" s="57">
        <v>24057</v>
      </c>
      <c r="F445" s="57">
        <v>0</v>
      </c>
      <c r="G445" s="57">
        <v>41881</v>
      </c>
      <c r="H445" s="57">
        <v>23931</v>
      </c>
      <c r="I445" s="57">
        <v>91523</v>
      </c>
    </row>
    <row r="446" spans="1:9" ht="14.4" x14ac:dyDescent="0.3">
      <c r="A446" s="28"/>
      <c r="B446" s="80"/>
      <c r="C446" s="80"/>
      <c r="D446" s="80"/>
      <c r="E446" s="80"/>
      <c r="F446" s="35"/>
      <c r="G446" s="80"/>
      <c r="H446" s="80"/>
      <c r="I446" s="80"/>
    </row>
    <row r="447" spans="1:9" ht="14.4" x14ac:dyDescent="0.3">
      <c r="A447" s="95" t="s">
        <v>2</v>
      </c>
      <c r="B447" s="57">
        <f>SUM(B434:B445)</f>
        <v>2244173193</v>
      </c>
      <c r="C447" s="57">
        <f t="shared" ref="C447:I447" si="38">SUM(C434:C445)</f>
        <v>224417319.29999998</v>
      </c>
      <c r="D447" s="57">
        <f t="shared" si="38"/>
        <v>0</v>
      </c>
      <c r="E447" s="57">
        <f t="shared" si="38"/>
        <v>508331</v>
      </c>
      <c r="F447" s="57">
        <f t="shared" si="38"/>
        <v>0</v>
      </c>
      <c r="G447" s="57">
        <f t="shared" si="38"/>
        <v>652405</v>
      </c>
      <c r="H447" s="57">
        <f t="shared" si="38"/>
        <v>984582</v>
      </c>
      <c r="I447" s="57">
        <f t="shared" si="38"/>
        <v>2432814</v>
      </c>
    </row>
    <row r="449" spans="1:9" ht="28.2" x14ac:dyDescent="0.3">
      <c r="A449" s="96" t="s">
        <v>107</v>
      </c>
      <c r="B449" s="80" t="s">
        <v>166</v>
      </c>
      <c r="C449" s="80" t="s">
        <v>113</v>
      </c>
      <c r="D449" s="80" t="s">
        <v>115</v>
      </c>
      <c r="E449" s="97" t="s">
        <v>116</v>
      </c>
      <c r="F449" s="27" t="s">
        <v>117</v>
      </c>
      <c r="G449" s="27" t="s">
        <v>145</v>
      </c>
      <c r="H449" s="27" t="s">
        <v>119</v>
      </c>
      <c r="I449" s="27" t="s">
        <v>120</v>
      </c>
    </row>
    <row r="450" spans="1:9" ht="14.4" x14ac:dyDescent="0.3">
      <c r="A450" s="28">
        <f>DATE(2025,1,1)</f>
        <v>45658</v>
      </c>
      <c r="B450" s="57">
        <v>164479232</v>
      </c>
      <c r="C450" s="57">
        <f t="shared" ref="C450" si="39">+B450*0.1</f>
        <v>16447923.200000001</v>
      </c>
      <c r="D450" s="57">
        <v>0</v>
      </c>
      <c r="E450" s="57">
        <v>31877</v>
      </c>
      <c r="F450" s="57">
        <v>0</v>
      </c>
      <c r="G450" s="57">
        <v>36434</v>
      </c>
      <c r="H450" s="57">
        <v>119072</v>
      </c>
      <c r="I450" s="57">
        <v>129230</v>
      </c>
    </row>
    <row r="451" spans="1:9" ht="14.4" x14ac:dyDescent="0.3">
      <c r="A451" s="28">
        <f>DATE(2025,2,1)</f>
        <v>45689</v>
      </c>
      <c r="B451" s="57">
        <v>158073903</v>
      </c>
      <c r="C451" s="57">
        <f>+B451*0.1</f>
        <v>15807390.300000001</v>
      </c>
      <c r="D451" s="80">
        <v>0</v>
      </c>
      <c r="E451" s="57">
        <v>23373</v>
      </c>
      <c r="F451" s="57">
        <v>0</v>
      </c>
      <c r="G451" s="57">
        <v>20721</v>
      </c>
      <c r="H451" s="57">
        <v>19265</v>
      </c>
      <c r="I451" s="57">
        <v>0</v>
      </c>
    </row>
    <row r="452" spans="1:9" ht="14.4" x14ac:dyDescent="0.3">
      <c r="A452" s="28">
        <f>DATE(2025,3,1)</f>
        <v>45717</v>
      </c>
      <c r="B452" s="57">
        <v>180791251</v>
      </c>
      <c r="C452" s="57">
        <f t="shared" ref="C452:C461" si="40">+B452*0.1</f>
        <v>18079125.100000001</v>
      </c>
      <c r="D452" s="57">
        <v>0</v>
      </c>
      <c r="E452" s="57">
        <v>48343</v>
      </c>
      <c r="F452" s="57">
        <v>0</v>
      </c>
      <c r="G452" s="57">
        <v>30248</v>
      </c>
      <c r="H452" s="57">
        <v>48745</v>
      </c>
      <c r="I452" s="57">
        <v>2992</v>
      </c>
    </row>
    <row r="453" spans="1:9" ht="14.4" x14ac:dyDescent="0.3">
      <c r="A453" s="28">
        <f>DATE(2025,4,1)</f>
        <v>45748</v>
      </c>
      <c r="B453" s="57">
        <v>187473706</v>
      </c>
      <c r="C453" s="57">
        <f t="shared" si="40"/>
        <v>18747370.600000001</v>
      </c>
      <c r="D453" s="80">
        <v>0</v>
      </c>
      <c r="E453" s="57">
        <v>33681</v>
      </c>
      <c r="F453" s="144">
        <v>0</v>
      </c>
      <c r="G453" s="57">
        <v>41878</v>
      </c>
      <c r="H453" s="57">
        <v>83309</v>
      </c>
      <c r="I453" s="57">
        <v>14562</v>
      </c>
    </row>
    <row r="454" spans="1:9" ht="14.4" x14ac:dyDescent="0.3">
      <c r="A454" s="28">
        <f>DATE(2025,5,1)</f>
        <v>45778</v>
      </c>
      <c r="B454" s="57">
        <v>198397774</v>
      </c>
      <c r="C454" s="57">
        <f t="shared" si="40"/>
        <v>19839777.400000002</v>
      </c>
      <c r="D454" s="80">
        <v>0</v>
      </c>
      <c r="E454" s="57">
        <v>35389</v>
      </c>
      <c r="F454" s="57">
        <v>0</v>
      </c>
      <c r="G454" s="57">
        <v>44755</v>
      </c>
      <c r="H454" s="57">
        <v>121850</v>
      </c>
      <c r="I454" s="57">
        <v>16688</v>
      </c>
    </row>
    <row r="455" spans="1:9" ht="14.4" x14ac:dyDescent="0.3">
      <c r="A455" s="28">
        <f>DATE(2025,6,1)</f>
        <v>45809</v>
      </c>
      <c r="B455" s="57">
        <v>189553506</v>
      </c>
      <c r="C455" s="57">
        <f t="shared" si="40"/>
        <v>18955350.600000001</v>
      </c>
      <c r="D455" s="57">
        <v>0</v>
      </c>
      <c r="E455" s="141">
        <v>28633</v>
      </c>
      <c r="F455" s="57">
        <v>0</v>
      </c>
      <c r="G455" s="57">
        <v>45418</v>
      </c>
      <c r="H455" s="57">
        <v>240141</v>
      </c>
      <c r="I455" s="57">
        <v>49191</v>
      </c>
    </row>
    <row r="456" spans="1:9" ht="14.4" x14ac:dyDescent="0.3">
      <c r="A456" s="28">
        <f>DATE(2025,7,1)</f>
        <v>45839</v>
      </c>
      <c r="B456" s="57">
        <v>201402983</v>
      </c>
      <c r="C456" s="57">
        <f t="shared" si="40"/>
        <v>20140298.300000001</v>
      </c>
      <c r="D456" s="57">
        <v>0</v>
      </c>
      <c r="E456" s="57">
        <v>48072</v>
      </c>
      <c r="F456" s="141">
        <v>0</v>
      </c>
      <c r="G456" s="57">
        <v>102271</v>
      </c>
      <c r="H456" s="57">
        <v>76145</v>
      </c>
      <c r="I456" s="57">
        <v>424328</v>
      </c>
    </row>
    <row r="457" spans="1:9" ht="14.4" x14ac:dyDescent="0.3">
      <c r="A457" s="28">
        <f>DATE(2025,8,1)</f>
        <v>45870</v>
      </c>
      <c r="B457" s="57">
        <v>201284047</v>
      </c>
      <c r="C457" s="141">
        <f t="shared" si="40"/>
        <v>20128404.700000003</v>
      </c>
      <c r="D457" s="57">
        <v>0</v>
      </c>
      <c r="E457" s="57">
        <v>35230</v>
      </c>
      <c r="F457" s="57">
        <v>0</v>
      </c>
      <c r="G457" s="57">
        <v>39416</v>
      </c>
      <c r="H457" s="57">
        <v>89849</v>
      </c>
      <c r="I457" s="57">
        <v>96950</v>
      </c>
    </row>
    <row r="458" spans="1:9" ht="14.4" x14ac:dyDescent="0.3">
      <c r="A458" s="28">
        <f>DATE(2025,9,1)</f>
        <v>45901</v>
      </c>
      <c r="B458" s="57"/>
      <c r="C458" s="141">
        <f t="shared" si="40"/>
        <v>0</v>
      </c>
      <c r="D458" s="80">
        <v>0</v>
      </c>
      <c r="E458" s="57"/>
      <c r="F458" s="57">
        <v>0</v>
      </c>
      <c r="G458" s="57"/>
      <c r="H458" s="57"/>
      <c r="I458" s="57"/>
    </row>
    <row r="459" spans="1:9" ht="14.4" x14ac:dyDescent="0.3">
      <c r="A459" s="28">
        <f>DATE(2025,10,1)</f>
        <v>45931</v>
      </c>
      <c r="B459" s="57"/>
      <c r="C459" s="57">
        <f t="shared" si="40"/>
        <v>0</v>
      </c>
      <c r="D459" s="80">
        <v>0</v>
      </c>
      <c r="E459" s="57"/>
      <c r="F459" s="57">
        <v>0</v>
      </c>
      <c r="G459" s="57"/>
      <c r="H459" s="57"/>
      <c r="I459" s="57"/>
    </row>
    <row r="460" spans="1:9" ht="14.4" x14ac:dyDescent="0.3">
      <c r="A460" s="28">
        <f>DATE(2025,11,1)</f>
        <v>45962</v>
      </c>
      <c r="B460" s="57"/>
      <c r="C460" s="57">
        <f t="shared" si="40"/>
        <v>0</v>
      </c>
      <c r="D460" s="80">
        <v>0</v>
      </c>
      <c r="E460" s="57"/>
      <c r="F460" s="57">
        <v>0</v>
      </c>
      <c r="G460" s="57"/>
      <c r="H460" s="57"/>
      <c r="I460" s="57"/>
    </row>
    <row r="461" spans="1:9" ht="14.4" x14ac:dyDescent="0.3">
      <c r="A461" s="28">
        <f>DATE(2025,12,1)</f>
        <v>45992</v>
      </c>
      <c r="B461" s="57"/>
      <c r="C461" s="153">
        <f t="shared" si="40"/>
        <v>0</v>
      </c>
      <c r="D461" s="80">
        <v>0</v>
      </c>
      <c r="E461" s="57"/>
      <c r="F461" s="57">
        <v>0</v>
      </c>
      <c r="G461" s="57"/>
      <c r="H461" s="57"/>
      <c r="I461" s="57"/>
    </row>
    <row r="462" spans="1:9" ht="14.4" x14ac:dyDescent="0.3">
      <c r="A462" s="28"/>
      <c r="B462" s="80"/>
      <c r="C462" s="80"/>
      <c r="D462" s="80"/>
      <c r="E462" s="80"/>
      <c r="F462" s="35"/>
      <c r="G462" s="80"/>
      <c r="H462" s="80"/>
      <c r="I462" s="80"/>
    </row>
    <row r="463" spans="1:9" ht="14.4" x14ac:dyDescent="0.3">
      <c r="A463" s="95" t="s">
        <v>2</v>
      </c>
      <c r="B463" s="57">
        <f>SUM(B450:B461)</f>
        <v>1481456402</v>
      </c>
      <c r="C463" s="57">
        <f t="shared" ref="C463:I463" si="41">SUM(C450:C461)</f>
        <v>148145640.20000002</v>
      </c>
      <c r="D463" s="57">
        <f t="shared" si="41"/>
        <v>0</v>
      </c>
      <c r="E463" s="57">
        <f t="shared" si="41"/>
        <v>284598</v>
      </c>
      <c r="F463" s="57">
        <f t="shared" si="41"/>
        <v>0</v>
      </c>
      <c r="G463" s="57">
        <f t="shared" si="41"/>
        <v>361141</v>
      </c>
      <c r="H463" s="57">
        <f t="shared" si="41"/>
        <v>798376</v>
      </c>
      <c r="I463" s="57">
        <f t="shared" si="41"/>
        <v>733941</v>
      </c>
    </row>
    <row r="465" spans="1:9" ht="28.2" x14ac:dyDescent="0.3">
      <c r="A465" s="96" t="s">
        <v>107</v>
      </c>
      <c r="B465" s="80" t="s">
        <v>166</v>
      </c>
      <c r="C465" s="80" t="s">
        <v>113</v>
      </c>
      <c r="D465" s="80" t="s">
        <v>115</v>
      </c>
      <c r="E465" s="97" t="s">
        <v>116</v>
      </c>
      <c r="F465" s="27" t="s">
        <v>117</v>
      </c>
      <c r="G465" s="27" t="s">
        <v>145</v>
      </c>
      <c r="H465" s="27" t="s">
        <v>119</v>
      </c>
      <c r="I465" s="27" t="s">
        <v>120</v>
      </c>
    </row>
    <row r="466" spans="1:9" ht="14.4" x14ac:dyDescent="0.3">
      <c r="A466" s="28">
        <f>DATE(2026,1,1)</f>
        <v>46023</v>
      </c>
      <c r="B466" s="57"/>
      <c r="C466" s="57">
        <f t="shared" ref="C466" si="42">+B466*0.1</f>
        <v>0</v>
      </c>
      <c r="D466" s="57">
        <v>0</v>
      </c>
      <c r="E466" s="57"/>
      <c r="F466" s="57">
        <v>0</v>
      </c>
      <c r="G466" s="57"/>
      <c r="H466" s="57"/>
      <c r="I466" s="57"/>
    </row>
    <row r="467" spans="1:9" ht="14.4" x14ac:dyDescent="0.3">
      <c r="A467" s="28">
        <f>DATE(2026,2,1)</f>
        <v>46054</v>
      </c>
      <c r="B467" s="57"/>
      <c r="C467" s="57">
        <f>+B467*0.1</f>
        <v>0</v>
      </c>
      <c r="D467" s="80">
        <v>0</v>
      </c>
      <c r="E467" s="57"/>
      <c r="F467" s="57">
        <v>0</v>
      </c>
      <c r="G467" s="57"/>
      <c r="H467" s="57"/>
      <c r="I467" s="57"/>
    </row>
    <row r="468" spans="1:9" ht="14.4" x14ac:dyDescent="0.3">
      <c r="A468" s="28">
        <f>DATE(2026,3,1)</f>
        <v>46082</v>
      </c>
      <c r="B468" s="57"/>
      <c r="C468" s="57">
        <f t="shared" ref="C468:C477" si="43">+B468*0.1</f>
        <v>0</v>
      </c>
      <c r="D468" s="57">
        <v>0</v>
      </c>
      <c r="E468" s="57"/>
      <c r="F468" s="57">
        <v>0</v>
      </c>
      <c r="G468" s="57"/>
      <c r="H468" s="57"/>
      <c r="I468" s="57"/>
    </row>
    <row r="469" spans="1:9" ht="14.4" x14ac:dyDescent="0.3">
      <c r="A469" s="28">
        <f>DATE(2026,4,1)</f>
        <v>46113</v>
      </c>
      <c r="B469" s="57"/>
      <c r="C469" s="57">
        <f t="shared" si="43"/>
        <v>0</v>
      </c>
      <c r="D469" s="80">
        <v>0</v>
      </c>
      <c r="E469" s="57"/>
      <c r="F469" s="144">
        <v>0</v>
      </c>
      <c r="G469" s="57"/>
      <c r="H469" s="57"/>
      <c r="I469" s="57"/>
    </row>
    <row r="470" spans="1:9" ht="14.4" x14ac:dyDescent="0.3">
      <c r="A470" s="28">
        <f>DATE(2026,5,1)</f>
        <v>46143</v>
      </c>
      <c r="B470" s="57"/>
      <c r="C470" s="57">
        <f t="shared" si="43"/>
        <v>0</v>
      </c>
      <c r="D470" s="80">
        <v>0</v>
      </c>
      <c r="E470" s="57"/>
      <c r="F470" s="57">
        <v>0</v>
      </c>
      <c r="G470" s="57"/>
      <c r="H470" s="57"/>
      <c r="I470" s="57"/>
    </row>
    <row r="471" spans="1:9" ht="14.4" x14ac:dyDescent="0.3">
      <c r="A471" s="28">
        <f>DATE(2026,6,1)</f>
        <v>46174</v>
      </c>
      <c r="B471" s="57"/>
      <c r="C471" s="57">
        <f t="shared" si="43"/>
        <v>0</v>
      </c>
      <c r="D471" s="57">
        <v>0</v>
      </c>
      <c r="E471" s="141"/>
      <c r="F471" s="57">
        <v>0</v>
      </c>
      <c r="G471" s="57"/>
      <c r="H471" s="57"/>
      <c r="I471" s="57"/>
    </row>
    <row r="472" spans="1:9" ht="14.4" x14ac:dyDescent="0.3">
      <c r="A472" s="28">
        <f>DATE(2026,7,1)</f>
        <v>46204</v>
      </c>
      <c r="B472" s="57"/>
      <c r="C472" s="57">
        <f t="shared" si="43"/>
        <v>0</v>
      </c>
      <c r="D472" s="57">
        <v>0</v>
      </c>
      <c r="E472" s="57"/>
      <c r="F472" s="141">
        <v>0</v>
      </c>
      <c r="G472" s="57"/>
      <c r="H472" s="57"/>
      <c r="I472" s="57"/>
    </row>
    <row r="473" spans="1:9" ht="14.4" x14ac:dyDescent="0.3">
      <c r="A473" s="28">
        <f>DATE(2026,8,1)</f>
        <v>46235</v>
      </c>
      <c r="B473" s="57"/>
      <c r="C473" s="141">
        <f t="shared" si="43"/>
        <v>0</v>
      </c>
      <c r="D473" s="57">
        <v>0</v>
      </c>
      <c r="E473" s="57"/>
      <c r="F473" s="57">
        <v>0</v>
      </c>
      <c r="G473" s="57"/>
      <c r="H473" s="57"/>
      <c r="I473" s="57"/>
    </row>
    <row r="474" spans="1:9" ht="14.4" x14ac:dyDescent="0.3">
      <c r="A474" s="28">
        <f>DATE(2026,9,1)</f>
        <v>46266</v>
      </c>
      <c r="B474" s="57"/>
      <c r="C474" s="141">
        <f t="shared" si="43"/>
        <v>0</v>
      </c>
      <c r="D474" s="80">
        <v>0</v>
      </c>
      <c r="E474" s="57"/>
      <c r="F474" s="57">
        <v>0</v>
      </c>
      <c r="G474" s="57"/>
      <c r="H474" s="57"/>
      <c r="I474" s="57"/>
    </row>
    <row r="475" spans="1:9" ht="14.4" x14ac:dyDescent="0.3">
      <c r="A475" s="28">
        <f>DATE(2026,10,1)</f>
        <v>46296</v>
      </c>
      <c r="B475" s="57"/>
      <c r="C475" s="57">
        <f t="shared" si="43"/>
        <v>0</v>
      </c>
      <c r="D475" s="80">
        <v>0</v>
      </c>
      <c r="E475" s="57"/>
      <c r="F475" s="57">
        <v>0</v>
      </c>
      <c r="G475" s="57"/>
      <c r="H475" s="57"/>
      <c r="I475" s="57"/>
    </row>
    <row r="476" spans="1:9" ht="14.4" x14ac:dyDescent="0.3">
      <c r="A476" s="28">
        <f>DATE(2026,11,1)</f>
        <v>46327</v>
      </c>
      <c r="B476" s="57"/>
      <c r="C476" s="57">
        <f t="shared" si="43"/>
        <v>0</v>
      </c>
      <c r="D476" s="80">
        <v>0</v>
      </c>
      <c r="E476" s="57"/>
      <c r="F476" s="57">
        <v>0</v>
      </c>
      <c r="G476" s="57"/>
      <c r="H476" s="57"/>
      <c r="I476" s="57"/>
    </row>
    <row r="477" spans="1:9" ht="14.4" x14ac:dyDescent="0.3">
      <c r="A477" s="28">
        <f>DATE(2026,12,1)</f>
        <v>46357</v>
      </c>
      <c r="B477" s="57"/>
      <c r="C477" s="153">
        <f t="shared" si="43"/>
        <v>0</v>
      </c>
      <c r="D477" s="80">
        <v>0</v>
      </c>
      <c r="E477" s="57"/>
      <c r="F477" s="57">
        <v>0</v>
      </c>
      <c r="G477" s="57"/>
      <c r="H477" s="57"/>
      <c r="I477" s="57"/>
    </row>
    <row r="478" spans="1:9" ht="14.4" x14ac:dyDescent="0.3">
      <c r="A478" s="28"/>
      <c r="B478" s="80"/>
      <c r="C478" s="80"/>
      <c r="D478" s="80"/>
      <c r="E478" s="80"/>
      <c r="F478" s="35"/>
      <c r="G478" s="80"/>
      <c r="H478" s="80"/>
      <c r="I478" s="80"/>
    </row>
    <row r="479" spans="1:9" ht="14.4" x14ac:dyDescent="0.3">
      <c r="A479" s="95" t="s">
        <v>2</v>
      </c>
      <c r="B479" s="57">
        <f>SUM(B466:B477)</f>
        <v>0</v>
      </c>
      <c r="C479" s="57">
        <f t="shared" ref="C479:I479" si="44">SUM(C466:C477)</f>
        <v>0</v>
      </c>
      <c r="D479" s="57">
        <f t="shared" si="44"/>
        <v>0</v>
      </c>
      <c r="E479" s="57">
        <f t="shared" si="44"/>
        <v>0</v>
      </c>
      <c r="F479" s="57">
        <f t="shared" si="44"/>
        <v>0</v>
      </c>
      <c r="G479" s="57">
        <f t="shared" si="44"/>
        <v>0</v>
      </c>
      <c r="H479" s="57">
        <f t="shared" si="44"/>
        <v>0</v>
      </c>
      <c r="I479" s="57">
        <f t="shared" si="44"/>
        <v>0</v>
      </c>
    </row>
    <row r="481" spans="1:9" ht="28.2" x14ac:dyDescent="0.3">
      <c r="A481" s="96" t="s">
        <v>107</v>
      </c>
      <c r="B481" s="80" t="s">
        <v>166</v>
      </c>
      <c r="C481" s="80" t="s">
        <v>113</v>
      </c>
      <c r="D481" s="80" t="s">
        <v>115</v>
      </c>
      <c r="E481" s="97" t="s">
        <v>116</v>
      </c>
      <c r="F481" s="27" t="s">
        <v>117</v>
      </c>
      <c r="G481" s="27" t="s">
        <v>145</v>
      </c>
      <c r="H481" s="27" t="s">
        <v>119</v>
      </c>
      <c r="I481" s="27" t="s">
        <v>120</v>
      </c>
    </row>
    <row r="482" spans="1:9" ht="14.4" x14ac:dyDescent="0.3">
      <c r="A482" s="28">
        <f>DATE(2027,1,1)</f>
        <v>46388</v>
      </c>
      <c r="B482" s="57"/>
      <c r="C482" s="57">
        <f t="shared" ref="C482" si="45">+B482*0.1</f>
        <v>0</v>
      </c>
      <c r="D482" s="57">
        <v>0</v>
      </c>
      <c r="E482" s="57"/>
      <c r="F482" s="57">
        <v>0</v>
      </c>
      <c r="G482" s="57"/>
      <c r="H482" s="57"/>
      <c r="I482" s="57"/>
    </row>
    <row r="483" spans="1:9" ht="14.4" x14ac:dyDescent="0.3">
      <c r="A483" s="28">
        <f>DATE(2027,2,1)</f>
        <v>46419</v>
      </c>
      <c r="B483" s="57"/>
      <c r="C483" s="57">
        <f>+B483*0.1</f>
        <v>0</v>
      </c>
      <c r="D483" s="80">
        <v>0</v>
      </c>
      <c r="E483" s="57"/>
      <c r="F483" s="57">
        <v>0</v>
      </c>
      <c r="G483" s="57"/>
      <c r="H483" s="57"/>
      <c r="I483" s="57"/>
    </row>
    <row r="484" spans="1:9" ht="14.4" x14ac:dyDescent="0.3">
      <c r="A484" s="28">
        <f>DATE(2027,3,1)</f>
        <v>46447</v>
      </c>
      <c r="B484" s="57"/>
      <c r="C484" s="57">
        <f t="shared" ref="C484:C493" si="46">+B484*0.1</f>
        <v>0</v>
      </c>
      <c r="D484" s="57">
        <v>0</v>
      </c>
      <c r="E484" s="57"/>
      <c r="F484" s="57">
        <v>0</v>
      </c>
      <c r="G484" s="57"/>
      <c r="H484" s="57"/>
      <c r="I484" s="57"/>
    </row>
    <row r="485" spans="1:9" ht="14.4" x14ac:dyDescent="0.3">
      <c r="A485" s="28">
        <f>DATE(2027,4,1)</f>
        <v>46478</v>
      </c>
      <c r="B485" s="57"/>
      <c r="C485" s="57">
        <f t="shared" si="46"/>
        <v>0</v>
      </c>
      <c r="D485" s="80">
        <v>0</v>
      </c>
      <c r="E485" s="57"/>
      <c r="F485" s="144">
        <v>0</v>
      </c>
      <c r="G485" s="57"/>
      <c r="H485" s="57"/>
      <c r="I485" s="57"/>
    </row>
    <row r="486" spans="1:9" ht="14.4" x14ac:dyDescent="0.3">
      <c r="A486" s="28">
        <f>DATE(2027,5,1)</f>
        <v>46508</v>
      </c>
      <c r="B486" s="57"/>
      <c r="C486" s="57">
        <f t="shared" si="46"/>
        <v>0</v>
      </c>
      <c r="D486" s="80">
        <v>0</v>
      </c>
      <c r="E486" s="57"/>
      <c r="F486" s="57">
        <v>0</v>
      </c>
      <c r="G486" s="57"/>
      <c r="H486" s="57"/>
      <c r="I486" s="57"/>
    </row>
    <row r="487" spans="1:9" ht="14.4" x14ac:dyDescent="0.3">
      <c r="A487" s="28">
        <f>DATE(2027,6,1)</f>
        <v>46539</v>
      </c>
      <c r="B487" s="57"/>
      <c r="C487" s="57">
        <f t="shared" si="46"/>
        <v>0</v>
      </c>
      <c r="D487" s="57">
        <v>0</v>
      </c>
      <c r="E487" s="141"/>
      <c r="F487" s="57">
        <v>0</v>
      </c>
      <c r="G487" s="57"/>
      <c r="H487" s="57"/>
      <c r="I487" s="57"/>
    </row>
    <row r="488" spans="1:9" ht="14.4" x14ac:dyDescent="0.3">
      <c r="A488" s="28">
        <f>DATE(2027,7,1)</f>
        <v>46569</v>
      </c>
      <c r="B488" s="57"/>
      <c r="C488" s="57">
        <f t="shared" si="46"/>
        <v>0</v>
      </c>
      <c r="D488" s="57">
        <v>0</v>
      </c>
      <c r="E488" s="57"/>
      <c r="F488" s="141">
        <v>0</v>
      </c>
      <c r="G488" s="57"/>
      <c r="H488" s="57"/>
      <c r="I488" s="57"/>
    </row>
    <row r="489" spans="1:9" ht="14.4" x14ac:dyDescent="0.3">
      <c r="A489" s="28">
        <f>DATE(2027,8,1)</f>
        <v>46600</v>
      </c>
      <c r="B489" s="57"/>
      <c r="C489" s="141">
        <f t="shared" si="46"/>
        <v>0</v>
      </c>
      <c r="D489" s="57">
        <v>0</v>
      </c>
      <c r="E489" s="57"/>
      <c r="F489" s="57">
        <v>0</v>
      </c>
      <c r="G489" s="57"/>
      <c r="H489" s="57"/>
      <c r="I489" s="57"/>
    </row>
    <row r="490" spans="1:9" ht="14.4" x14ac:dyDescent="0.3">
      <c r="A490" s="28">
        <f>DATE(2027,9,1)</f>
        <v>46631</v>
      </c>
      <c r="B490" s="57"/>
      <c r="C490" s="141">
        <f t="shared" si="46"/>
        <v>0</v>
      </c>
      <c r="D490" s="80">
        <v>0</v>
      </c>
      <c r="E490" s="57"/>
      <c r="F490" s="57">
        <v>0</v>
      </c>
      <c r="G490" s="57"/>
      <c r="H490" s="57"/>
      <c r="I490" s="57"/>
    </row>
    <row r="491" spans="1:9" ht="14.4" x14ac:dyDescent="0.3">
      <c r="A491" s="28">
        <f>DATE(2027,10,1)</f>
        <v>46661</v>
      </c>
      <c r="B491" s="57"/>
      <c r="C491" s="57">
        <f t="shared" si="46"/>
        <v>0</v>
      </c>
      <c r="D491" s="80">
        <v>0</v>
      </c>
      <c r="E491" s="57"/>
      <c r="F491" s="57">
        <v>0</v>
      </c>
      <c r="G491" s="57"/>
      <c r="H491" s="57"/>
      <c r="I491" s="57"/>
    </row>
    <row r="492" spans="1:9" ht="14.4" x14ac:dyDescent="0.3">
      <c r="A492" s="28">
        <f>DATE(2027,11,1)</f>
        <v>46692</v>
      </c>
      <c r="B492" s="57"/>
      <c r="C492" s="57">
        <f t="shared" si="46"/>
        <v>0</v>
      </c>
      <c r="D492" s="80">
        <v>0</v>
      </c>
      <c r="E492" s="57"/>
      <c r="F492" s="57">
        <v>0</v>
      </c>
      <c r="G492" s="57"/>
      <c r="H492" s="57"/>
      <c r="I492" s="57"/>
    </row>
    <row r="493" spans="1:9" ht="14.4" x14ac:dyDescent="0.3">
      <c r="A493" s="28">
        <f>DATE(2027,12,1)</f>
        <v>46722</v>
      </c>
      <c r="B493" s="57"/>
      <c r="C493" s="153">
        <f t="shared" si="46"/>
        <v>0</v>
      </c>
      <c r="D493" s="80">
        <v>0</v>
      </c>
      <c r="E493" s="57"/>
      <c r="F493" s="57">
        <v>0</v>
      </c>
      <c r="G493" s="57"/>
      <c r="H493" s="57"/>
      <c r="I493" s="57"/>
    </row>
    <row r="494" spans="1:9" ht="14.4" x14ac:dyDescent="0.3">
      <c r="A494" s="28"/>
      <c r="B494" s="80"/>
      <c r="C494" s="80"/>
      <c r="D494" s="80"/>
      <c r="E494" s="80"/>
      <c r="F494" s="35"/>
      <c r="G494" s="80"/>
      <c r="H494" s="80"/>
      <c r="I494" s="80"/>
    </row>
    <row r="495" spans="1:9" ht="14.4" x14ac:dyDescent="0.3">
      <c r="A495" s="95" t="s">
        <v>2</v>
      </c>
      <c r="B495" s="57">
        <f>SUM(B482:B493)</f>
        <v>0</v>
      </c>
      <c r="C495" s="57">
        <f t="shared" ref="C495:I495" si="47">SUM(C482:C493)</f>
        <v>0</v>
      </c>
      <c r="D495" s="57">
        <f t="shared" si="47"/>
        <v>0</v>
      </c>
      <c r="E495" s="57">
        <f t="shared" si="47"/>
        <v>0</v>
      </c>
      <c r="F495" s="57">
        <f t="shared" si="47"/>
        <v>0</v>
      </c>
      <c r="G495" s="57">
        <f t="shared" si="47"/>
        <v>0</v>
      </c>
      <c r="H495" s="57">
        <f t="shared" si="47"/>
        <v>0</v>
      </c>
      <c r="I495" s="57">
        <f t="shared" si="47"/>
        <v>0</v>
      </c>
    </row>
  </sheetData>
  <mergeCells count="2">
    <mergeCell ref="A1:I1"/>
    <mergeCell ref="A2:I2"/>
  </mergeCells>
  <phoneticPr fontId="0" type="noConversion"/>
  <printOptions horizontalCentered="1"/>
  <pageMargins left="0.75" right="0.75" top="1" bottom="1" header="0.5" footer="0.5"/>
  <pageSetup paperSize="5" scale="85" orientation="landscape" r:id="rId1"/>
  <headerFooter alignWithMargins="0">
    <oddHeader>KRC data (KYTC-FHWA).xls</oddHeader>
    <oddFooter>&amp;L&amp;A&amp;C&amp;BRevenue Cabinet Confidential&amp;B&amp;RPage &amp;P</oddFooter>
  </headerFooter>
  <rowBreaks count="2" manualBreakCount="2">
    <brk id="17" max="16383" man="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Q468"/>
  <sheetViews>
    <sheetView zoomScale="90" zoomScaleNormal="90" workbookViewId="0">
      <pane xSplit="1" ySplit="3" topLeftCell="B424" activePane="bottomRight" state="frozen"/>
      <selection pane="topRight" activeCell="B1" sqref="B1"/>
      <selection pane="bottomLeft" activeCell="A4" sqref="A4"/>
      <selection pane="bottomRight" activeCell="K434" sqref="K434"/>
    </sheetView>
  </sheetViews>
  <sheetFormatPr defaultRowHeight="12" x14ac:dyDescent="0.3"/>
  <cols>
    <col min="1" max="1" width="16.25" bestFit="1" customWidth="1"/>
    <col min="2" max="2" width="17" bestFit="1" customWidth="1"/>
    <col min="3" max="5" width="14.75" bestFit="1" customWidth="1"/>
    <col min="6" max="6" width="20.875" bestFit="1" customWidth="1"/>
    <col min="7" max="7" width="20.75" bestFit="1" customWidth="1"/>
    <col min="8" max="8" width="22" bestFit="1" customWidth="1"/>
    <col min="9" max="9" width="16.125" bestFit="1" customWidth="1"/>
    <col min="10" max="10" width="22.125" bestFit="1" customWidth="1"/>
    <col min="11" max="11" width="16.75" bestFit="1" customWidth="1"/>
    <col min="12" max="12" width="22.625" customWidth="1"/>
  </cols>
  <sheetData>
    <row r="1" spans="1:12" ht="38.25" customHeight="1" x14ac:dyDescent="0.3">
      <c r="A1" s="169" t="s">
        <v>1</v>
      </c>
      <c r="B1" s="169"/>
      <c r="C1" s="169"/>
      <c r="D1" s="169"/>
      <c r="E1" s="169"/>
      <c r="F1" s="169"/>
      <c r="G1" s="169"/>
      <c r="H1" s="169"/>
      <c r="I1" s="169"/>
      <c r="J1" s="169"/>
      <c r="K1" s="169"/>
      <c r="L1" s="169"/>
    </row>
    <row r="2" spans="1:12" ht="15" customHeight="1" x14ac:dyDescent="0.3">
      <c r="A2" s="170" t="s">
        <v>114</v>
      </c>
      <c r="B2" s="170"/>
      <c r="C2" s="170"/>
      <c r="D2" s="170"/>
      <c r="E2" s="170"/>
      <c r="F2" s="170"/>
      <c r="G2" s="170"/>
      <c r="H2" s="170"/>
      <c r="I2" s="170"/>
      <c r="J2" s="170"/>
      <c r="K2" s="170"/>
      <c r="L2" s="170"/>
    </row>
    <row r="3" spans="1:12" ht="42.75" customHeight="1" x14ac:dyDescent="0.3">
      <c r="A3" s="26" t="s">
        <v>107</v>
      </c>
      <c r="B3" s="27" t="s">
        <v>112</v>
      </c>
      <c r="C3" s="27" t="s">
        <v>3</v>
      </c>
      <c r="D3" s="27" t="s">
        <v>187</v>
      </c>
      <c r="E3" s="27" t="s">
        <v>188</v>
      </c>
      <c r="F3" s="27" t="s">
        <v>189</v>
      </c>
      <c r="G3" s="27" t="s">
        <v>190</v>
      </c>
      <c r="H3" s="27" t="s">
        <v>216</v>
      </c>
      <c r="I3" s="27" t="s">
        <v>191</v>
      </c>
      <c r="J3" s="27" t="s">
        <v>214</v>
      </c>
      <c r="K3" s="27" t="s">
        <v>215</v>
      </c>
      <c r="L3" s="27" t="s">
        <v>6</v>
      </c>
    </row>
    <row r="4" spans="1:12" ht="24.9" customHeight="1" x14ac:dyDescent="0.3">
      <c r="A4" s="28">
        <f>DATE(1997,1,1)</f>
        <v>35431</v>
      </c>
      <c r="B4" s="29">
        <v>79052816</v>
      </c>
      <c r="C4" s="29">
        <v>4399330</v>
      </c>
      <c r="D4" s="29"/>
      <c r="E4" s="29"/>
      <c r="F4" s="29"/>
      <c r="G4" s="29"/>
      <c r="H4" s="29"/>
      <c r="I4" s="29"/>
      <c r="J4" s="30">
        <v>9965625</v>
      </c>
      <c r="K4" s="31">
        <v>6900</v>
      </c>
      <c r="L4" s="32" t="s">
        <v>7</v>
      </c>
    </row>
    <row r="5" spans="1:12" ht="24.9" customHeight="1" x14ac:dyDescent="0.3">
      <c r="A5" s="28">
        <f>DATE(1997,2,1)</f>
        <v>35462</v>
      </c>
      <c r="B5" s="29">
        <v>73344391</v>
      </c>
      <c r="C5" s="29">
        <v>3153147</v>
      </c>
      <c r="D5" s="29"/>
      <c r="E5" s="29"/>
      <c r="F5" s="29"/>
      <c r="G5" s="29"/>
      <c r="H5" s="29"/>
      <c r="I5" s="29"/>
      <c r="J5" s="30">
        <v>19559907</v>
      </c>
      <c r="K5" s="31">
        <v>50442</v>
      </c>
      <c r="L5" s="32" t="s">
        <v>7</v>
      </c>
    </row>
    <row r="6" spans="1:12" ht="24.9" customHeight="1" x14ac:dyDescent="0.3">
      <c r="A6" s="28">
        <f>DATE(1997,3,1)</f>
        <v>35490</v>
      </c>
      <c r="B6" s="29">
        <v>74020213</v>
      </c>
      <c r="C6" s="29">
        <v>3139612</v>
      </c>
      <c r="D6" s="29"/>
      <c r="E6" s="29"/>
      <c r="F6" s="29"/>
      <c r="G6" s="29"/>
      <c r="H6" s="29"/>
      <c r="I6" s="29"/>
      <c r="J6" s="30">
        <v>10209929</v>
      </c>
      <c r="K6" s="31">
        <v>0</v>
      </c>
      <c r="L6" s="32" t="s">
        <v>7</v>
      </c>
    </row>
    <row r="7" spans="1:12" ht="24.9" customHeight="1" x14ac:dyDescent="0.3">
      <c r="A7" s="28">
        <f>DATE(1997,4,1)</f>
        <v>35521</v>
      </c>
      <c r="B7" s="29">
        <v>84184785</v>
      </c>
      <c r="C7" s="29">
        <v>4323314</v>
      </c>
      <c r="D7" s="29"/>
      <c r="E7" s="29"/>
      <c r="F7" s="29"/>
      <c r="G7" s="29"/>
      <c r="H7" s="29"/>
      <c r="I7" s="29"/>
      <c r="J7" s="30">
        <v>12568650</v>
      </c>
      <c r="K7" s="31">
        <v>0</v>
      </c>
      <c r="L7" s="32" t="s">
        <v>7</v>
      </c>
    </row>
    <row r="8" spans="1:12" ht="24.9" customHeight="1" x14ac:dyDescent="0.3">
      <c r="A8" s="28">
        <f>DATE(1997,5,1)</f>
        <v>35551</v>
      </c>
      <c r="B8" s="29">
        <v>82438165</v>
      </c>
      <c r="C8" s="29">
        <v>3967688</v>
      </c>
      <c r="D8" s="29"/>
      <c r="E8" s="29"/>
      <c r="F8" s="29"/>
      <c r="G8" s="29"/>
      <c r="H8" s="29"/>
      <c r="I8" s="29"/>
      <c r="J8" s="30">
        <v>39360855</v>
      </c>
      <c r="K8" s="31">
        <v>298</v>
      </c>
      <c r="L8" s="32" t="s">
        <v>7</v>
      </c>
    </row>
    <row r="9" spans="1:12" ht="24.9" customHeight="1" x14ac:dyDescent="0.3">
      <c r="A9" s="28">
        <f>DATE(1997,6,1)</f>
        <v>35582</v>
      </c>
      <c r="B9" s="29">
        <v>74462237</v>
      </c>
      <c r="C9" s="29">
        <v>3024617</v>
      </c>
      <c r="D9" s="29"/>
      <c r="E9" s="29"/>
      <c r="F9" s="29"/>
      <c r="G9" s="29"/>
      <c r="H9" s="29"/>
      <c r="I9" s="29"/>
      <c r="J9" s="30">
        <v>7218967</v>
      </c>
      <c r="K9" s="31">
        <v>19162</v>
      </c>
      <c r="L9" s="32" t="s">
        <v>7</v>
      </c>
    </row>
    <row r="10" spans="1:12" ht="24.9" customHeight="1" x14ac:dyDescent="0.3">
      <c r="A10" s="28">
        <f>DATE(1997,7,1)</f>
        <v>35612</v>
      </c>
      <c r="B10" s="29">
        <v>81861349</v>
      </c>
      <c r="C10" s="29">
        <v>3940437</v>
      </c>
      <c r="D10" s="29"/>
      <c r="E10" s="29"/>
      <c r="F10" s="29"/>
      <c r="G10" s="29"/>
      <c r="H10" s="29"/>
      <c r="I10" s="29"/>
      <c r="J10" s="30">
        <v>19955777</v>
      </c>
      <c r="K10" s="33">
        <v>0</v>
      </c>
      <c r="L10" s="32" t="s">
        <v>7</v>
      </c>
    </row>
    <row r="11" spans="1:12" ht="24.9" customHeight="1" x14ac:dyDescent="0.3">
      <c r="A11" s="28">
        <f>DATE(1997,8,1)</f>
        <v>35643</v>
      </c>
      <c r="B11" s="29">
        <v>77150161</v>
      </c>
      <c r="C11" s="29">
        <v>2649892</v>
      </c>
      <c r="D11" s="29"/>
      <c r="E11" s="29"/>
      <c r="F11" s="29"/>
      <c r="G11" s="29"/>
      <c r="H11" s="29"/>
      <c r="I11" s="29"/>
      <c r="J11" s="30">
        <v>20881279</v>
      </c>
      <c r="K11" s="33">
        <v>63995</v>
      </c>
      <c r="L11" s="32" t="s">
        <v>7</v>
      </c>
    </row>
    <row r="12" spans="1:12" ht="24.9" customHeight="1" x14ac:dyDescent="0.3">
      <c r="A12" s="28">
        <f>DATE(1997,9,1)</f>
        <v>35674</v>
      </c>
      <c r="B12" s="29">
        <v>84277050</v>
      </c>
      <c r="C12" s="29">
        <v>4366652</v>
      </c>
      <c r="D12" s="29"/>
      <c r="E12" s="29"/>
      <c r="F12" s="29"/>
      <c r="G12" s="29"/>
      <c r="H12" s="29"/>
      <c r="I12" s="29"/>
      <c r="J12" s="30">
        <v>5602571</v>
      </c>
      <c r="K12" s="33">
        <v>21708</v>
      </c>
      <c r="L12" s="32" t="s">
        <v>7</v>
      </c>
    </row>
    <row r="13" spans="1:12" ht="24.9" customHeight="1" x14ac:dyDescent="0.3">
      <c r="A13" s="28">
        <f>DATE(1997,10,1)</f>
        <v>35704</v>
      </c>
      <c r="B13" s="29">
        <v>93040133</v>
      </c>
      <c r="C13" s="29">
        <v>6193397</v>
      </c>
      <c r="D13" s="29"/>
      <c r="E13" s="29"/>
      <c r="F13" s="29"/>
      <c r="G13" s="29"/>
      <c r="H13" s="29"/>
      <c r="I13" s="29"/>
      <c r="J13" s="30">
        <v>8114665</v>
      </c>
      <c r="K13" s="33">
        <v>86169</v>
      </c>
      <c r="L13" s="32" t="s">
        <v>7</v>
      </c>
    </row>
    <row r="14" spans="1:12" ht="24.9" customHeight="1" x14ac:dyDescent="0.3">
      <c r="A14" s="28">
        <f>DATE(1997,11,1)</f>
        <v>35735</v>
      </c>
      <c r="B14" s="29">
        <v>77682690</v>
      </c>
      <c r="C14" s="29">
        <v>3576093</v>
      </c>
      <c r="D14" s="29"/>
      <c r="E14" s="29"/>
      <c r="F14" s="29"/>
      <c r="G14" s="29"/>
      <c r="H14" s="29"/>
      <c r="I14" s="29"/>
      <c r="J14" s="30">
        <v>25870091</v>
      </c>
      <c r="K14" s="33">
        <v>0</v>
      </c>
      <c r="L14" s="32" t="s">
        <v>7</v>
      </c>
    </row>
    <row r="15" spans="1:12" ht="24.9" customHeight="1" x14ac:dyDescent="0.3">
      <c r="A15" s="28">
        <f>DATE(1997,12,1)</f>
        <v>35765</v>
      </c>
      <c r="B15" s="29">
        <v>75899793</v>
      </c>
      <c r="C15" s="29">
        <v>4170561</v>
      </c>
      <c r="D15" s="29"/>
      <c r="E15" s="29"/>
      <c r="F15" s="29"/>
      <c r="G15" s="29"/>
      <c r="H15" s="29"/>
      <c r="I15" s="29"/>
      <c r="J15" s="30">
        <v>11492901</v>
      </c>
      <c r="K15" s="33">
        <v>83536</v>
      </c>
      <c r="L15" s="32" t="s">
        <v>7</v>
      </c>
    </row>
    <row r="16" spans="1:12" ht="24.9" customHeight="1" thickBot="1" x14ac:dyDescent="0.35">
      <c r="A16" s="34"/>
      <c r="B16" s="35"/>
      <c r="C16" s="35"/>
      <c r="D16" s="35"/>
      <c r="E16" s="35"/>
      <c r="F16" s="35"/>
      <c r="G16" s="35"/>
      <c r="H16" s="35"/>
      <c r="I16" s="35"/>
      <c r="J16" s="35"/>
      <c r="K16" s="35"/>
      <c r="L16" s="35"/>
    </row>
    <row r="17" spans="1:12" ht="30" customHeight="1" thickTop="1" thickBot="1" x14ac:dyDescent="0.35">
      <c r="A17" s="36" t="s">
        <v>2</v>
      </c>
      <c r="B17" s="37">
        <f>SUM(B4:B15)</f>
        <v>957413783</v>
      </c>
      <c r="C17" s="37">
        <f>SUM(C4:C15)</f>
        <v>46904740</v>
      </c>
      <c r="D17" s="37"/>
      <c r="E17" s="37"/>
      <c r="F17" s="37"/>
      <c r="G17" s="37"/>
      <c r="H17" s="37"/>
      <c r="I17" s="37"/>
      <c r="J17" s="37">
        <f>SUM(J4:J14)</f>
        <v>179308316</v>
      </c>
      <c r="K17" s="37">
        <f>SUM(K4:K14)</f>
        <v>248674</v>
      </c>
      <c r="L17" s="38"/>
    </row>
    <row r="18" spans="1:12" ht="15" thickTop="1" x14ac:dyDescent="0.3">
      <c r="A18" s="34"/>
      <c r="B18" s="35"/>
      <c r="C18" s="35"/>
      <c r="D18" s="35"/>
      <c r="E18" s="35"/>
      <c r="F18" s="35"/>
      <c r="G18" s="35"/>
      <c r="H18" s="35"/>
      <c r="I18" s="35"/>
      <c r="J18" s="35"/>
      <c r="K18" s="35"/>
      <c r="L18" s="35"/>
    </row>
    <row r="19" spans="1:12" ht="24.9" customHeight="1" x14ac:dyDescent="0.3">
      <c r="A19" s="28">
        <f>DATE(1998,1,1)</f>
        <v>35796</v>
      </c>
      <c r="B19" s="29">
        <v>78063466</v>
      </c>
      <c r="C19" s="29">
        <v>3687734</v>
      </c>
      <c r="D19" s="29"/>
      <c r="E19" s="29"/>
      <c r="F19" s="29"/>
      <c r="G19" s="29"/>
      <c r="H19" s="29"/>
      <c r="I19" s="29"/>
      <c r="J19" s="30">
        <v>16937796</v>
      </c>
      <c r="K19" s="33">
        <v>0</v>
      </c>
      <c r="L19" s="32" t="s">
        <v>7</v>
      </c>
    </row>
    <row r="20" spans="1:12" ht="24.9" customHeight="1" x14ac:dyDescent="0.3">
      <c r="A20" s="28">
        <f>DATE(1998,2,1)</f>
        <v>35827</v>
      </c>
      <c r="B20" s="29">
        <v>69756822</v>
      </c>
      <c r="C20" s="29">
        <v>3328312</v>
      </c>
      <c r="D20" s="29"/>
      <c r="E20" s="29"/>
      <c r="F20" s="29"/>
      <c r="G20" s="29"/>
      <c r="H20" s="29"/>
      <c r="I20" s="29"/>
      <c r="J20" s="30">
        <v>12203563</v>
      </c>
      <c r="K20" s="33">
        <v>0</v>
      </c>
      <c r="L20" s="32" t="s">
        <v>7</v>
      </c>
    </row>
    <row r="21" spans="1:12" ht="24.9" customHeight="1" x14ac:dyDescent="0.3">
      <c r="A21" s="28">
        <f>DATE(1998,3,1)</f>
        <v>35855</v>
      </c>
      <c r="B21" s="29">
        <v>81678725</v>
      </c>
      <c r="C21" s="29">
        <v>4335830</v>
      </c>
      <c r="D21" s="29"/>
      <c r="E21" s="29"/>
      <c r="F21" s="29"/>
      <c r="G21" s="29"/>
      <c r="H21" s="29"/>
      <c r="I21" s="29"/>
      <c r="J21" s="30">
        <v>14201368</v>
      </c>
      <c r="K21" s="33">
        <v>52985</v>
      </c>
      <c r="L21" s="32" t="s">
        <v>7</v>
      </c>
    </row>
    <row r="22" spans="1:12" ht="24.9" customHeight="1" x14ac:dyDescent="0.3">
      <c r="A22" s="28">
        <f>DATE(1998,4,1)</f>
        <v>35886</v>
      </c>
      <c r="B22" s="29">
        <v>66672703</v>
      </c>
      <c r="C22" s="29">
        <v>2871980</v>
      </c>
      <c r="D22" s="29"/>
      <c r="E22" s="29"/>
      <c r="F22" s="29"/>
      <c r="G22" s="29"/>
      <c r="H22" s="29"/>
      <c r="I22" s="29"/>
      <c r="J22" s="30">
        <v>1262681</v>
      </c>
      <c r="K22" s="33">
        <v>0</v>
      </c>
      <c r="L22" s="32" t="s">
        <v>7</v>
      </c>
    </row>
    <row r="23" spans="1:12" ht="24.9" customHeight="1" x14ac:dyDescent="0.3">
      <c r="A23" s="28">
        <f>DATE(1998,5,1)</f>
        <v>35916</v>
      </c>
      <c r="B23" s="29">
        <v>71061550</v>
      </c>
      <c r="C23" s="29">
        <v>3577104</v>
      </c>
      <c r="D23" s="29"/>
      <c r="E23" s="29"/>
      <c r="F23" s="29"/>
      <c r="G23" s="29"/>
      <c r="H23" s="29"/>
      <c r="I23" s="29"/>
      <c r="J23" s="30">
        <v>24244339</v>
      </c>
      <c r="K23" s="33">
        <v>0</v>
      </c>
      <c r="L23" s="32" t="s">
        <v>7</v>
      </c>
    </row>
    <row r="24" spans="1:12" ht="24.9" customHeight="1" x14ac:dyDescent="0.3">
      <c r="A24" s="28">
        <f>DATE(1998,6,1)</f>
        <v>35947</v>
      </c>
      <c r="B24" s="29">
        <v>84811432</v>
      </c>
      <c r="C24" s="29">
        <v>4016616</v>
      </c>
      <c r="D24" s="29"/>
      <c r="E24" s="29"/>
      <c r="F24" s="29"/>
      <c r="G24" s="29"/>
      <c r="H24" s="29"/>
      <c r="I24" s="29"/>
      <c r="J24" s="30">
        <v>5063911</v>
      </c>
      <c r="K24" s="33">
        <v>37624</v>
      </c>
      <c r="L24" s="32" t="s">
        <v>7</v>
      </c>
    </row>
    <row r="25" spans="1:12" ht="24.9" customHeight="1" x14ac:dyDescent="0.3">
      <c r="A25" s="28">
        <f>DATE(1998,7,1)</f>
        <v>35977</v>
      </c>
      <c r="B25" s="29">
        <v>82161372</v>
      </c>
      <c r="C25" s="29">
        <v>3051297</v>
      </c>
      <c r="D25" s="39"/>
      <c r="E25" s="39"/>
      <c r="F25" s="39"/>
      <c r="G25" s="39"/>
      <c r="H25" s="39"/>
      <c r="I25" s="39"/>
      <c r="J25" s="39">
        <v>12890651</v>
      </c>
      <c r="K25" s="39">
        <v>0</v>
      </c>
      <c r="L25" s="40" t="s">
        <v>7</v>
      </c>
    </row>
    <row r="26" spans="1:12" ht="24.9" customHeight="1" x14ac:dyDescent="0.3">
      <c r="A26" s="28">
        <f>DATE(1998,8,1)</f>
        <v>36008</v>
      </c>
      <c r="B26" s="29">
        <v>85289260</v>
      </c>
      <c r="C26" s="29">
        <v>3118229</v>
      </c>
      <c r="D26" s="29"/>
      <c r="E26" s="29"/>
      <c r="F26" s="29"/>
      <c r="G26" s="29"/>
      <c r="H26" s="29"/>
      <c r="I26" s="29"/>
      <c r="J26" s="29">
        <v>35769770</v>
      </c>
      <c r="K26" s="29">
        <v>71958</v>
      </c>
      <c r="L26" s="40" t="s">
        <v>7</v>
      </c>
    </row>
    <row r="27" spans="1:12" ht="24.9" customHeight="1" x14ac:dyDescent="0.3">
      <c r="A27" s="28">
        <f>DATE(1998,9,1)</f>
        <v>36039</v>
      </c>
      <c r="B27" s="29">
        <v>88130639</v>
      </c>
      <c r="C27" s="29">
        <v>4310957</v>
      </c>
      <c r="D27" s="29"/>
      <c r="E27" s="29"/>
      <c r="F27" s="29"/>
      <c r="G27" s="29"/>
      <c r="H27" s="29"/>
      <c r="I27" s="29"/>
      <c r="J27" s="29">
        <v>4375318</v>
      </c>
      <c r="K27" s="29">
        <v>0</v>
      </c>
      <c r="L27" s="40" t="s">
        <v>7</v>
      </c>
    </row>
    <row r="28" spans="1:12" ht="24.9" customHeight="1" x14ac:dyDescent="0.3">
      <c r="A28" s="28">
        <f>DATE(1998,10,1)</f>
        <v>36069</v>
      </c>
      <c r="B28" s="29">
        <v>92422415</v>
      </c>
      <c r="C28" s="29">
        <v>5176338</v>
      </c>
      <c r="D28" s="29"/>
      <c r="E28" s="29"/>
      <c r="F28" s="29"/>
      <c r="G28" s="29"/>
      <c r="H28" s="29"/>
      <c r="I28" s="29"/>
      <c r="J28" s="29">
        <v>5991018</v>
      </c>
      <c r="K28" s="29">
        <v>168144</v>
      </c>
      <c r="L28" s="40" t="s">
        <v>7</v>
      </c>
    </row>
    <row r="29" spans="1:12" ht="24.9" customHeight="1" x14ac:dyDescent="0.3">
      <c r="A29" s="28">
        <f>DATE(1998,11,1)</f>
        <v>36100</v>
      </c>
      <c r="B29" s="29">
        <v>82091746</v>
      </c>
      <c r="C29" s="29">
        <v>3081396</v>
      </c>
      <c r="D29" s="29"/>
      <c r="E29" s="29"/>
      <c r="F29" s="29"/>
      <c r="G29" s="29"/>
      <c r="H29" s="29"/>
      <c r="I29" s="29"/>
      <c r="J29" s="29">
        <v>32102646</v>
      </c>
      <c r="K29" s="29">
        <v>0</v>
      </c>
      <c r="L29" s="40" t="s">
        <v>7</v>
      </c>
    </row>
    <row r="30" spans="1:12" ht="24.9" customHeight="1" x14ac:dyDescent="0.3">
      <c r="A30" s="28">
        <f>DATE(1998,12,1)</f>
        <v>36130</v>
      </c>
      <c r="B30" s="29">
        <v>66493990</v>
      </c>
      <c r="C30" s="29">
        <v>3916318</v>
      </c>
      <c r="D30" s="29"/>
      <c r="E30" s="29"/>
      <c r="F30" s="29"/>
      <c r="G30" s="29"/>
      <c r="H30" s="29"/>
      <c r="I30" s="29"/>
      <c r="J30" s="29">
        <v>4797751</v>
      </c>
      <c r="K30" s="29">
        <v>58716</v>
      </c>
      <c r="L30" s="40" t="s">
        <v>7</v>
      </c>
    </row>
    <row r="31" spans="1:12" ht="24.9" customHeight="1" thickBot="1" x14ac:dyDescent="0.35">
      <c r="A31" s="34"/>
      <c r="B31" s="35"/>
      <c r="C31" s="35"/>
      <c r="D31" s="35"/>
      <c r="E31" s="35"/>
      <c r="F31" s="35"/>
      <c r="G31" s="35"/>
      <c r="H31" s="35"/>
      <c r="I31" s="35"/>
      <c r="J31" s="35"/>
      <c r="K31" s="35"/>
      <c r="L31" s="35"/>
    </row>
    <row r="32" spans="1:12" ht="30" customHeight="1" thickTop="1" thickBot="1" x14ac:dyDescent="0.35">
      <c r="A32" s="36" t="s">
        <v>2</v>
      </c>
      <c r="B32" s="37">
        <f>SUM(B19:B30)</f>
        <v>948634120</v>
      </c>
      <c r="C32" s="37">
        <f>SUM(C19:C30)</f>
        <v>44472111</v>
      </c>
      <c r="D32" s="37"/>
      <c r="E32" s="37"/>
      <c r="F32" s="37"/>
      <c r="G32" s="37"/>
      <c r="H32" s="37"/>
      <c r="I32" s="37"/>
      <c r="J32" s="37">
        <f>SUM(J19:J30)</f>
        <v>169840812</v>
      </c>
      <c r="K32" s="37">
        <f>SUM(K19:K30)</f>
        <v>389427</v>
      </c>
      <c r="L32" s="41"/>
    </row>
    <row r="33" spans="1:12" ht="15" thickTop="1" x14ac:dyDescent="0.3">
      <c r="A33" s="34"/>
      <c r="B33" s="35"/>
      <c r="C33" s="35"/>
      <c r="D33" s="35"/>
      <c r="E33" s="35"/>
      <c r="F33" s="35"/>
      <c r="G33" s="35"/>
      <c r="H33" s="35"/>
      <c r="I33" s="35"/>
      <c r="J33" s="35"/>
      <c r="K33" s="35"/>
      <c r="L33" s="35"/>
    </row>
    <row r="34" spans="1:12" ht="24.9" customHeight="1" x14ac:dyDescent="0.3">
      <c r="A34" s="28">
        <f>DATE(1999,1,1)</f>
        <v>36161</v>
      </c>
      <c r="B34" s="29">
        <v>79454156</v>
      </c>
      <c r="C34" s="29">
        <v>3723287</v>
      </c>
      <c r="D34" s="29"/>
      <c r="E34" s="29"/>
      <c r="F34" s="29"/>
      <c r="G34" s="29"/>
      <c r="H34" s="29"/>
      <c r="I34" s="29"/>
      <c r="J34" s="29">
        <v>14679429</v>
      </c>
      <c r="K34" s="29">
        <v>0</v>
      </c>
      <c r="L34" s="40" t="s">
        <v>7</v>
      </c>
    </row>
    <row r="35" spans="1:12" ht="24.9" customHeight="1" x14ac:dyDescent="0.3">
      <c r="A35" s="28">
        <f>DATE(1999,2,1)</f>
        <v>36192</v>
      </c>
      <c r="B35" s="29">
        <v>80592943</v>
      </c>
      <c r="C35" s="29">
        <v>3043563</v>
      </c>
      <c r="D35" s="29"/>
      <c r="E35" s="29"/>
      <c r="F35" s="29"/>
      <c r="G35" s="29"/>
      <c r="H35" s="29"/>
      <c r="I35" s="29"/>
      <c r="J35" s="29">
        <v>21334212</v>
      </c>
      <c r="K35" s="29">
        <v>50706</v>
      </c>
      <c r="L35" s="40" t="s">
        <v>7</v>
      </c>
    </row>
    <row r="36" spans="1:12" ht="24.9" customHeight="1" x14ac:dyDescent="0.3">
      <c r="A36" s="28">
        <f>DATE(1999,3,1)</f>
        <v>36220</v>
      </c>
      <c r="B36" s="29">
        <v>93788255</v>
      </c>
      <c r="C36" s="29">
        <v>4347450</v>
      </c>
      <c r="D36" s="29"/>
      <c r="E36" s="29"/>
      <c r="F36" s="29"/>
      <c r="G36" s="29"/>
      <c r="H36" s="29"/>
      <c r="I36" s="29"/>
      <c r="J36" s="29">
        <v>24277104</v>
      </c>
      <c r="K36" s="29">
        <v>0</v>
      </c>
      <c r="L36" s="40" t="s">
        <v>7</v>
      </c>
    </row>
    <row r="37" spans="1:12" ht="24.9" customHeight="1" x14ac:dyDescent="0.3">
      <c r="A37" s="28">
        <f>DATE(1999,4,1)</f>
        <v>36251</v>
      </c>
      <c r="B37" s="29">
        <v>86995835</v>
      </c>
      <c r="C37" s="29">
        <v>3270237</v>
      </c>
      <c r="D37" s="29"/>
      <c r="E37" s="29"/>
      <c r="F37" s="29"/>
      <c r="G37" s="29"/>
      <c r="H37" s="29"/>
      <c r="I37" s="29"/>
      <c r="J37" s="29">
        <v>11677656</v>
      </c>
      <c r="K37" s="29">
        <v>0</v>
      </c>
      <c r="L37" s="40" t="s">
        <v>7</v>
      </c>
    </row>
    <row r="38" spans="1:12" ht="24.9" customHeight="1" x14ac:dyDescent="0.3">
      <c r="A38" s="28">
        <f>DATE(1999,5,1)</f>
        <v>36281</v>
      </c>
      <c r="B38" s="29">
        <v>87257199</v>
      </c>
      <c r="C38" s="29">
        <v>4066191</v>
      </c>
      <c r="D38" s="29"/>
      <c r="E38" s="29"/>
      <c r="F38" s="29"/>
      <c r="G38" s="29"/>
      <c r="H38" s="29"/>
      <c r="I38" s="29"/>
      <c r="J38" s="29">
        <v>19895719</v>
      </c>
      <c r="K38" s="29">
        <v>3192</v>
      </c>
      <c r="L38" s="40" t="s">
        <v>7</v>
      </c>
    </row>
    <row r="39" spans="1:12" ht="24.9" customHeight="1" x14ac:dyDescent="0.3">
      <c r="A39" s="28">
        <f>DATE(1999,6,1)</f>
        <v>36312</v>
      </c>
      <c r="B39" s="29">
        <v>89723617</v>
      </c>
      <c r="C39" s="29">
        <v>3455755</v>
      </c>
      <c r="D39" s="29"/>
      <c r="E39" s="29"/>
      <c r="F39" s="29"/>
      <c r="G39" s="29"/>
      <c r="H39" s="29"/>
      <c r="I39" s="29"/>
      <c r="J39" s="29">
        <v>20833085</v>
      </c>
      <c r="K39" s="29">
        <v>0</v>
      </c>
      <c r="L39" s="40" t="s">
        <v>7</v>
      </c>
    </row>
    <row r="40" spans="1:12" ht="24.9" customHeight="1" x14ac:dyDescent="0.3">
      <c r="A40" s="28">
        <f>DATE(1999,7,1)</f>
        <v>36342</v>
      </c>
      <c r="B40" s="29">
        <v>80333581</v>
      </c>
      <c r="C40" s="29">
        <v>2447234</v>
      </c>
      <c r="D40" s="29"/>
      <c r="E40" s="29"/>
      <c r="F40" s="29"/>
      <c r="G40" s="29"/>
      <c r="H40" s="29"/>
      <c r="I40" s="29"/>
      <c r="J40" s="29">
        <v>11718195</v>
      </c>
      <c r="K40" s="29">
        <v>0</v>
      </c>
      <c r="L40" s="40" t="s">
        <v>7</v>
      </c>
    </row>
    <row r="41" spans="1:12" ht="24.9" customHeight="1" x14ac:dyDescent="0.3">
      <c r="A41" s="28">
        <f>DATE(1999,8,1)</f>
        <v>36373</v>
      </c>
      <c r="B41" s="29">
        <v>90166974</v>
      </c>
      <c r="C41" s="29">
        <v>2787368</v>
      </c>
      <c r="D41" s="29"/>
      <c r="E41" s="29"/>
      <c r="F41" s="29"/>
      <c r="G41" s="29"/>
      <c r="H41" s="29"/>
      <c r="I41" s="29"/>
      <c r="J41" s="29">
        <v>19666241</v>
      </c>
      <c r="K41" s="29">
        <v>20820</v>
      </c>
      <c r="L41" s="40" t="s">
        <v>7</v>
      </c>
    </row>
    <row r="42" spans="1:12" ht="24.9" customHeight="1" x14ac:dyDescent="0.3">
      <c r="A42" s="28">
        <f>DATE(1999,9,1)</f>
        <v>36404</v>
      </c>
      <c r="B42" s="29">
        <v>75990097</v>
      </c>
      <c r="C42" s="29">
        <v>3970630</v>
      </c>
      <c r="D42" s="29"/>
      <c r="E42" s="29"/>
      <c r="F42" s="29"/>
      <c r="G42" s="29"/>
      <c r="H42" s="29"/>
      <c r="I42" s="29"/>
      <c r="J42" s="29">
        <v>14045930</v>
      </c>
      <c r="K42" s="29">
        <v>955868</v>
      </c>
      <c r="L42" s="40" t="s">
        <v>7</v>
      </c>
    </row>
    <row r="43" spans="1:12" ht="24.9" customHeight="1" x14ac:dyDescent="0.3">
      <c r="A43" s="28">
        <f>DATE(1999,10,1)</f>
        <v>36434</v>
      </c>
      <c r="B43" s="29">
        <v>83744238</v>
      </c>
      <c r="C43" s="29">
        <v>3784597</v>
      </c>
      <c r="D43" s="29"/>
      <c r="E43" s="29"/>
      <c r="F43" s="29"/>
      <c r="G43" s="29"/>
      <c r="H43" s="29"/>
      <c r="I43" s="29"/>
      <c r="J43" s="29">
        <v>11616896</v>
      </c>
      <c r="K43" s="29">
        <v>80051</v>
      </c>
      <c r="L43" s="40" t="s">
        <v>7</v>
      </c>
    </row>
    <row r="44" spans="1:12" ht="24.9" customHeight="1" x14ac:dyDescent="0.3">
      <c r="A44" s="28">
        <f>DATE(1999,11,1)</f>
        <v>36465</v>
      </c>
      <c r="B44" s="29">
        <v>81037651</v>
      </c>
      <c r="C44" s="29">
        <v>2945433</v>
      </c>
      <c r="D44" s="29"/>
      <c r="E44" s="29"/>
      <c r="F44" s="29"/>
      <c r="G44" s="29"/>
      <c r="H44" s="29"/>
      <c r="I44" s="29"/>
      <c r="J44" s="29">
        <v>18509897</v>
      </c>
      <c r="K44" s="29">
        <v>58274</v>
      </c>
      <c r="L44" s="40" t="s">
        <v>7</v>
      </c>
    </row>
    <row r="45" spans="1:12" ht="24.9" customHeight="1" x14ac:dyDescent="0.3">
      <c r="A45" s="28">
        <f>DATE(1999,12,1)</f>
        <v>36495</v>
      </c>
      <c r="B45" s="29">
        <v>69357321</v>
      </c>
      <c r="C45" s="29">
        <v>1426806</v>
      </c>
      <c r="D45" s="29"/>
      <c r="E45" s="29"/>
      <c r="F45" s="29"/>
      <c r="G45" s="29"/>
      <c r="H45" s="29"/>
      <c r="I45" s="29"/>
      <c r="J45" s="29">
        <v>5831244</v>
      </c>
      <c r="K45" s="29">
        <v>79592</v>
      </c>
      <c r="L45" s="40" t="s">
        <v>7</v>
      </c>
    </row>
    <row r="46" spans="1:12" ht="24.9" customHeight="1" thickBot="1" x14ac:dyDescent="0.35">
      <c r="A46" s="34"/>
      <c r="B46" s="35"/>
      <c r="C46" s="35"/>
      <c r="D46" s="35"/>
      <c r="E46" s="35"/>
      <c r="F46" s="35"/>
      <c r="G46" s="35"/>
      <c r="H46" s="35"/>
      <c r="I46" s="35"/>
      <c r="J46" s="35"/>
      <c r="K46" s="35"/>
      <c r="L46" s="35"/>
    </row>
    <row r="47" spans="1:12" ht="30" customHeight="1" thickTop="1" thickBot="1" x14ac:dyDescent="0.35">
      <c r="A47" s="36" t="s">
        <v>2</v>
      </c>
      <c r="B47" s="37">
        <f>SUM(B34:B45)</f>
        <v>998441867</v>
      </c>
      <c r="C47" s="37">
        <f>SUM(C34:C45)</f>
        <v>39268551</v>
      </c>
      <c r="D47" s="37"/>
      <c r="E47" s="37"/>
      <c r="F47" s="37"/>
      <c r="G47" s="37"/>
      <c r="H47" s="37"/>
      <c r="I47" s="37"/>
      <c r="J47" s="37">
        <f>SUM(J34:J45)</f>
        <v>194085608</v>
      </c>
      <c r="K47" s="37">
        <f>SUM(K34:K45)</f>
        <v>1248503</v>
      </c>
      <c r="L47" s="41"/>
    </row>
    <row r="48" spans="1:12" ht="15" thickTop="1" x14ac:dyDescent="0.3">
      <c r="A48" s="34"/>
      <c r="B48" s="35"/>
      <c r="C48" s="35"/>
      <c r="D48" s="35"/>
      <c r="E48" s="35"/>
      <c r="F48" s="35"/>
      <c r="G48" s="35"/>
      <c r="H48" s="35"/>
      <c r="I48" s="35"/>
      <c r="J48" s="35"/>
      <c r="K48" s="35"/>
      <c r="L48" s="35"/>
    </row>
    <row r="49" spans="1:12" ht="24.9" customHeight="1" x14ac:dyDescent="0.3">
      <c r="A49" s="28">
        <f>DATE(2000,1,1)</f>
        <v>36526</v>
      </c>
      <c r="B49" s="29">
        <v>81983362</v>
      </c>
      <c r="C49" s="29">
        <v>3358096</v>
      </c>
      <c r="D49" s="29"/>
      <c r="E49" s="29"/>
      <c r="F49" s="29"/>
      <c r="G49" s="29"/>
      <c r="H49" s="29"/>
      <c r="I49" s="29"/>
      <c r="J49" s="29">
        <v>4581821</v>
      </c>
      <c r="K49" s="29">
        <v>93189.25</v>
      </c>
      <c r="L49" s="40" t="s">
        <v>7</v>
      </c>
    </row>
    <row r="50" spans="1:12" ht="24.9" customHeight="1" x14ac:dyDescent="0.3">
      <c r="A50" s="28">
        <f>DATE(2000,2,1)</f>
        <v>36557</v>
      </c>
      <c r="B50" s="29">
        <v>89745844</v>
      </c>
      <c r="C50" s="29">
        <v>2767646</v>
      </c>
      <c r="D50" s="29"/>
      <c r="E50" s="29"/>
      <c r="F50" s="29"/>
      <c r="G50" s="29"/>
      <c r="H50" s="29"/>
      <c r="I50" s="29"/>
      <c r="J50" s="29">
        <v>18400754</v>
      </c>
      <c r="K50" s="29">
        <v>0</v>
      </c>
      <c r="L50" s="40" t="s">
        <v>7</v>
      </c>
    </row>
    <row r="51" spans="1:12" ht="24.9" customHeight="1" x14ac:dyDescent="0.3">
      <c r="A51" s="28">
        <f>DATE(2000,3,1)</f>
        <v>36586</v>
      </c>
      <c r="B51" s="29">
        <v>78573308</v>
      </c>
      <c r="C51" s="29">
        <v>3505003</v>
      </c>
      <c r="D51" s="29"/>
      <c r="E51" s="29"/>
      <c r="F51" s="29"/>
      <c r="G51" s="29"/>
      <c r="H51" s="29"/>
      <c r="I51" s="29"/>
      <c r="J51" s="29">
        <v>2506028</v>
      </c>
      <c r="K51" s="29">
        <v>0</v>
      </c>
      <c r="L51" s="40" t="s">
        <v>7</v>
      </c>
    </row>
    <row r="52" spans="1:12" ht="24.9" customHeight="1" x14ac:dyDescent="0.3">
      <c r="A52" s="28">
        <f>DATE(2000,4,1)</f>
        <v>36617</v>
      </c>
      <c r="B52" s="29">
        <v>86942416</v>
      </c>
      <c r="C52" s="29">
        <v>2487052</v>
      </c>
      <c r="D52" s="29"/>
      <c r="E52" s="29"/>
      <c r="F52" s="29"/>
      <c r="G52" s="29"/>
      <c r="H52" s="29"/>
      <c r="I52" s="29"/>
      <c r="J52" s="29">
        <v>5467190</v>
      </c>
      <c r="K52" s="29">
        <v>2434</v>
      </c>
      <c r="L52" s="40" t="s">
        <v>7</v>
      </c>
    </row>
    <row r="53" spans="1:12" ht="24.9" customHeight="1" x14ac:dyDescent="0.3">
      <c r="A53" s="28">
        <f>DATE(2000,5,1)</f>
        <v>36647</v>
      </c>
      <c r="B53" s="29">
        <v>91215526</v>
      </c>
      <c r="C53" s="29">
        <v>3651702</v>
      </c>
      <c r="D53" s="29"/>
      <c r="E53" s="29"/>
      <c r="F53" s="29"/>
      <c r="G53" s="29"/>
      <c r="H53" s="29"/>
      <c r="I53" s="29"/>
      <c r="J53" s="29">
        <v>6055155</v>
      </c>
      <c r="K53" s="29">
        <v>7638</v>
      </c>
      <c r="L53" s="40" t="s">
        <v>7</v>
      </c>
    </row>
    <row r="54" spans="1:12" ht="24.9" customHeight="1" x14ac:dyDescent="0.3">
      <c r="A54" s="28">
        <f>DATE(2000,6,1)</f>
        <v>36678</v>
      </c>
      <c r="B54" s="29">
        <v>95564872</v>
      </c>
      <c r="C54" s="29">
        <v>3719750</v>
      </c>
      <c r="D54" s="29"/>
      <c r="E54" s="29"/>
      <c r="F54" s="29"/>
      <c r="G54" s="29"/>
      <c r="H54" s="29"/>
      <c r="I54" s="29"/>
      <c r="J54" s="29">
        <v>263245</v>
      </c>
      <c r="K54" s="29">
        <v>0</v>
      </c>
      <c r="L54" s="40" t="s">
        <v>7</v>
      </c>
    </row>
    <row r="55" spans="1:12" ht="24.9" customHeight="1" x14ac:dyDescent="0.3">
      <c r="A55" s="28">
        <f>DATE(2000,7,1)</f>
        <v>36708</v>
      </c>
      <c r="B55" s="29">
        <v>82335040</v>
      </c>
      <c r="C55" s="29">
        <v>2189124</v>
      </c>
      <c r="D55" s="29"/>
      <c r="E55" s="29"/>
      <c r="F55" s="29"/>
      <c r="G55" s="29"/>
      <c r="H55" s="29"/>
      <c r="I55" s="29"/>
      <c r="J55" s="29">
        <v>2993721</v>
      </c>
      <c r="K55" s="29">
        <v>0</v>
      </c>
      <c r="L55" s="40" t="s">
        <v>7</v>
      </c>
    </row>
    <row r="56" spans="1:12" ht="24.9" customHeight="1" x14ac:dyDescent="0.3">
      <c r="A56" s="28">
        <f>DATE(2000,8,1)</f>
        <v>36739</v>
      </c>
      <c r="B56" s="29">
        <v>72875535</v>
      </c>
      <c r="C56" s="29">
        <v>260427</v>
      </c>
      <c r="D56" s="29"/>
      <c r="E56" s="29"/>
      <c r="F56" s="29"/>
      <c r="G56" s="29"/>
      <c r="H56" s="29"/>
      <c r="I56" s="29"/>
      <c r="J56" s="29">
        <v>11281419</v>
      </c>
      <c r="K56" s="29">
        <v>97245</v>
      </c>
      <c r="L56" s="40" t="s">
        <v>7</v>
      </c>
    </row>
    <row r="57" spans="1:12" ht="24.9" customHeight="1" x14ac:dyDescent="0.3">
      <c r="A57" s="28">
        <f>DATE(2000,9,1)</f>
        <v>36770</v>
      </c>
      <c r="B57" s="29">
        <v>67666692</v>
      </c>
      <c r="C57" s="29">
        <v>274508</v>
      </c>
      <c r="D57" s="29"/>
      <c r="E57" s="29"/>
      <c r="F57" s="29"/>
      <c r="G57" s="29"/>
      <c r="H57" s="29"/>
      <c r="I57" s="29"/>
      <c r="J57" s="29">
        <v>15531627</v>
      </c>
      <c r="K57" s="29">
        <v>0</v>
      </c>
      <c r="L57" s="40" t="s">
        <v>7</v>
      </c>
    </row>
    <row r="58" spans="1:12" ht="24.9" customHeight="1" x14ac:dyDescent="0.3">
      <c r="A58" s="28">
        <f>DATE(2000,10,1)</f>
        <v>36800</v>
      </c>
      <c r="B58" s="29">
        <v>73669630</v>
      </c>
      <c r="C58" s="29">
        <v>269104</v>
      </c>
      <c r="D58" s="29"/>
      <c r="E58" s="29"/>
      <c r="F58" s="29"/>
      <c r="G58" s="29"/>
      <c r="H58" s="29"/>
      <c r="I58" s="29"/>
      <c r="J58" s="29">
        <v>738717</v>
      </c>
      <c r="K58" s="29">
        <v>0</v>
      </c>
      <c r="L58" s="40" t="s">
        <v>7</v>
      </c>
    </row>
    <row r="59" spans="1:12" ht="24.9" customHeight="1" x14ac:dyDescent="0.3">
      <c r="A59" s="28">
        <f>DATE(2000,11,1)</f>
        <v>36831</v>
      </c>
      <c r="B59" s="29">
        <v>67482401</v>
      </c>
      <c r="C59" s="29">
        <v>162891</v>
      </c>
      <c r="D59" s="29"/>
      <c r="E59" s="29"/>
      <c r="F59" s="29"/>
      <c r="G59" s="29"/>
      <c r="H59" s="29"/>
      <c r="I59" s="29"/>
      <c r="J59" s="29">
        <v>0</v>
      </c>
      <c r="K59" s="29">
        <v>0</v>
      </c>
      <c r="L59" s="40" t="s">
        <v>7</v>
      </c>
    </row>
    <row r="60" spans="1:12" ht="24.9" customHeight="1" x14ac:dyDescent="0.3">
      <c r="A60" s="28">
        <f>DATE(2000,12,1)</f>
        <v>36861</v>
      </c>
      <c r="B60" s="29">
        <v>58907743</v>
      </c>
      <c r="C60" s="29">
        <v>292793</v>
      </c>
      <c r="D60" s="29"/>
      <c r="E60" s="29"/>
      <c r="F60" s="29"/>
      <c r="G60" s="29"/>
      <c r="H60" s="29"/>
      <c r="I60" s="29"/>
      <c r="J60" s="29">
        <v>0</v>
      </c>
      <c r="K60" s="29">
        <v>0</v>
      </c>
      <c r="L60" s="40" t="s">
        <v>7</v>
      </c>
    </row>
    <row r="61" spans="1:12" ht="24.9" customHeight="1" thickBot="1" x14ac:dyDescent="0.35">
      <c r="A61" s="34"/>
      <c r="B61" s="35"/>
      <c r="C61" s="35"/>
      <c r="D61" s="35"/>
      <c r="E61" s="35"/>
      <c r="F61" s="35"/>
      <c r="G61" s="35"/>
      <c r="H61" s="35"/>
      <c r="I61" s="35"/>
      <c r="J61" s="35"/>
      <c r="K61" s="35"/>
      <c r="L61" s="35"/>
    </row>
    <row r="62" spans="1:12" ht="24.9" customHeight="1" thickTop="1" thickBot="1" x14ac:dyDescent="0.35">
      <c r="A62" s="36" t="s">
        <v>2</v>
      </c>
      <c r="B62" s="37">
        <f>SUM(B49:B60)</f>
        <v>946962369</v>
      </c>
      <c r="C62" s="37">
        <f>SUM(C49:C60)</f>
        <v>22938096</v>
      </c>
      <c r="D62" s="37"/>
      <c r="E62" s="37"/>
      <c r="F62" s="37"/>
      <c r="G62" s="37"/>
      <c r="H62" s="37"/>
      <c r="I62" s="37"/>
      <c r="J62" s="37">
        <f>SUM(J49:J60)</f>
        <v>67819677</v>
      </c>
      <c r="K62" s="37">
        <f>SUM(K49:K60)</f>
        <v>200506.25</v>
      </c>
      <c r="L62" s="41"/>
    </row>
    <row r="63" spans="1:12" ht="13.5" customHeight="1" thickTop="1" x14ac:dyDescent="0.3">
      <c r="A63" s="35"/>
      <c r="B63" s="35"/>
      <c r="C63" s="35"/>
      <c r="D63" s="35"/>
      <c r="E63" s="35"/>
      <c r="F63" s="35"/>
      <c r="G63" s="35"/>
      <c r="H63" s="35"/>
      <c r="I63" s="35"/>
      <c r="J63" s="35"/>
      <c r="K63" s="35"/>
      <c r="L63" s="35"/>
    </row>
    <row r="64" spans="1:12" ht="24.75" customHeight="1" x14ac:dyDescent="0.3">
      <c r="A64" s="28">
        <f>DATE(2001,1,1)</f>
        <v>36892</v>
      </c>
      <c r="B64" s="29">
        <v>57391886</v>
      </c>
      <c r="C64" s="29">
        <v>451488</v>
      </c>
      <c r="D64" s="29"/>
      <c r="E64" s="29"/>
      <c r="F64" s="29"/>
      <c r="G64" s="29"/>
      <c r="H64" s="29"/>
      <c r="I64" s="29"/>
      <c r="J64" s="29">
        <v>4459561</v>
      </c>
      <c r="K64" s="29">
        <v>48948</v>
      </c>
      <c r="L64" s="42" t="s">
        <v>126</v>
      </c>
    </row>
    <row r="65" spans="1:13" ht="24.75" customHeight="1" x14ac:dyDescent="0.3">
      <c r="A65" s="28">
        <f>DATE(2001,2,1)</f>
        <v>36923</v>
      </c>
      <c r="B65" s="29">
        <v>54938360</v>
      </c>
      <c r="C65" s="29">
        <v>119381</v>
      </c>
      <c r="D65" s="29"/>
      <c r="E65" s="29"/>
      <c r="F65" s="29"/>
      <c r="G65" s="29"/>
      <c r="H65" s="29"/>
      <c r="I65" s="29"/>
      <c r="J65" s="29">
        <v>1588378</v>
      </c>
      <c r="K65" s="29">
        <v>5086</v>
      </c>
      <c r="L65" s="42" t="s">
        <v>126</v>
      </c>
    </row>
    <row r="66" spans="1:13" ht="24.75" customHeight="1" x14ac:dyDescent="0.3">
      <c r="A66" s="28">
        <f>DATE(2001,3,1)</f>
        <v>36951</v>
      </c>
      <c r="B66" s="29">
        <v>62719622</v>
      </c>
      <c r="C66" s="29">
        <v>192909</v>
      </c>
      <c r="D66" s="29"/>
      <c r="E66" s="29"/>
      <c r="F66" s="29"/>
      <c r="G66" s="29"/>
      <c r="H66" s="29"/>
      <c r="I66" s="29"/>
      <c r="J66" s="29">
        <v>837470</v>
      </c>
      <c r="K66" s="29">
        <v>0</v>
      </c>
      <c r="L66" s="42" t="s">
        <v>126</v>
      </c>
    </row>
    <row r="67" spans="1:13" ht="24.75" customHeight="1" x14ac:dyDescent="0.3">
      <c r="A67" s="28">
        <f>DATE(2001,4,1)</f>
        <v>36982</v>
      </c>
      <c r="B67" s="29">
        <v>58381673</v>
      </c>
      <c r="C67" s="29">
        <v>207218</v>
      </c>
      <c r="D67" s="29"/>
      <c r="E67" s="29"/>
      <c r="F67" s="29"/>
      <c r="G67" s="29"/>
      <c r="H67" s="29"/>
      <c r="I67" s="29"/>
      <c r="J67" s="29">
        <v>21632</v>
      </c>
      <c r="K67" s="29">
        <v>7420</v>
      </c>
      <c r="L67" s="42" t="s">
        <v>126</v>
      </c>
    </row>
    <row r="68" spans="1:13" ht="24.75" customHeight="1" x14ac:dyDescent="0.3">
      <c r="A68" s="28">
        <f>DATE(2001,5,1)</f>
        <v>37012</v>
      </c>
      <c r="B68" s="29">
        <v>61396231</v>
      </c>
      <c r="C68" s="29">
        <v>153813</v>
      </c>
      <c r="D68" s="29"/>
      <c r="E68" s="29"/>
      <c r="F68" s="29"/>
      <c r="G68" s="29"/>
      <c r="H68" s="29"/>
      <c r="I68" s="29"/>
      <c r="J68" s="29">
        <v>249830</v>
      </c>
      <c r="K68" s="29">
        <v>5490</v>
      </c>
      <c r="L68" s="42" t="s">
        <v>126</v>
      </c>
    </row>
    <row r="69" spans="1:13" ht="24.75" customHeight="1" x14ac:dyDescent="0.3">
      <c r="A69" s="28">
        <f>DATE(2001,6,1)</f>
        <v>37043</v>
      </c>
      <c r="B69" s="29">
        <v>54405312</v>
      </c>
      <c r="C69" s="29">
        <v>166566</v>
      </c>
      <c r="D69" s="29"/>
      <c r="E69" s="29"/>
      <c r="F69" s="29"/>
      <c r="G69" s="29"/>
      <c r="H69" s="29"/>
      <c r="I69" s="29"/>
      <c r="J69" s="29">
        <v>148711</v>
      </c>
      <c r="K69" s="29">
        <v>0</v>
      </c>
      <c r="L69" s="42" t="s">
        <v>126</v>
      </c>
    </row>
    <row r="70" spans="1:13" ht="24.75" customHeight="1" x14ac:dyDescent="0.3">
      <c r="A70" s="28">
        <f>DATE(2001,7,1)</f>
        <v>37073</v>
      </c>
      <c r="B70" s="29">
        <v>56568060</v>
      </c>
      <c r="C70" s="29">
        <v>139371</v>
      </c>
      <c r="D70" s="29"/>
      <c r="E70" s="29"/>
      <c r="F70" s="29"/>
      <c r="G70" s="29"/>
      <c r="H70" s="29"/>
      <c r="I70" s="29"/>
      <c r="J70" s="29">
        <v>0</v>
      </c>
      <c r="K70" s="29">
        <v>0</v>
      </c>
      <c r="L70" s="42" t="s">
        <v>126</v>
      </c>
    </row>
    <row r="71" spans="1:13" ht="24.75" customHeight="1" x14ac:dyDescent="0.3">
      <c r="A71" s="28">
        <f>DATE(2001,8,1)</f>
        <v>37104</v>
      </c>
      <c r="B71" s="29">
        <v>63182458</v>
      </c>
      <c r="C71" s="29">
        <v>201330</v>
      </c>
      <c r="D71" s="29"/>
      <c r="E71" s="29"/>
      <c r="F71" s="29"/>
      <c r="G71" s="29"/>
      <c r="H71" s="29"/>
      <c r="I71" s="29"/>
      <c r="J71" s="29">
        <v>99349</v>
      </c>
      <c r="K71" s="29">
        <v>53400</v>
      </c>
      <c r="L71" s="42" t="s">
        <v>126</v>
      </c>
    </row>
    <row r="72" spans="1:13" ht="24.75" customHeight="1" x14ac:dyDescent="0.3">
      <c r="A72" s="28">
        <f>DATE(2001,9,1)</f>
        <v>37135</v>
      </c>
      <c r="B72" s="29">
        <v>56959509</v>
      </c>
      <c r="C72" s="29">
        <v>409156</v>
      </c>
      <c r="D72" s="29"/>
      <c r="E72" s="29"/>
      <c r="F72" s="29"/>
      <c r="G72" s="29"/>
      <c r="H72" s="29"/>
      <c r="I72" s="29"/>
      <c r="J72" s="29">
        <v>288316</v>
      </c>
      <c r="K72" s="29">
        <v>0</v>
      </c>
      <c r="L72" s="42" t="s">
        <v>126</v>
      </c>
    </row>
    <row r="73" spans="1:13" ht="24.75" customHeight="1" x14ac:dyDescent="0.3">
      <c r="A73" s="28">
        <f>DATE(2001,10,1)</f>
        <v>37165</v>
      </c>
      <c r="B73" s="29">
        <v>65716678</v>
      </c>
      <c r="C73" s="29">
        <v>415142</v>
      </c>
      <c r="D73" s="29"/>
      <c r="E73" s="29"/>
      <c r="F73" s="29"/>
      <c r="G73" s="29"/>
      <c r="H73" s="29"/>
      <c r="I73" s="29"/>
      <c r="J73" s="29">
        <v>1797716</v>
      </c>
      <c r="K73" s="29">
        <v>0</v>
      </c>
      <c r="L73" s="42" t="s">
        <v>126</v>
      </c>
    </row>
    <row r="74" spans="1:13" ht="24.75" customHeight="1" x14ac:dyDescent="0.3">
      <c r="A74" s="28">
        <f>DATE(2001,11,1)</f>
        <v>37196</v>
      </c>
      <c r="B74" s="29">
        <v>58927671</v>
      </c>
      <c r="C74" s="29">
        <v>160018</v>
      </c>
      <c r="D74" s="29"/>
      <c r="E74" s="29"/>
      <c r="F74" s="29"/>
      <c r="G74" s="29"/>
      <c r="H74" s="29"/>
      <c r="I74" s="29"/>
      <c r="J74" s="29">
        <v>390537</v>
      </c>
      <c r="K74" s="29">
        <v>133366</v>
      </c>
      <c r="L74" s="42" t="s">
        <v>126</v>
      </c>
    </row>
    <row r="75" spans="1:13" ht="24.75" customHeight="1" x14ac:dyDescent="0.3">
      <c r="A75" s="28">
        <f>DATE(2001,12,1)</f>
        <v>37226</v>
      </c>
      <c r="B75" s="29">
        <v>51393275</v>
      </c>
      <c r="C75" s="29">
        <v>141765</v>
      </c>
      <c r="D75" s="29"/>
      <c r="E75" s="29"/>
      <c r="F75" s="29"/>
      <c r="G75" s="29"/>
      <c r="H75" s="29"/>
      <c r="I75" s="29"/>
      <c r="J75" s="29">
        <v>0</v>
      </c>
      <c r="K75" s="29">
        <v>0</v>
      </c>
      <c r="L75" s="42" t="s">
        <v>126</v>
      </c>
    </row>
    <row r="76" spans="1:13" ht="15" thickBot="1" x14ac:dyDescent="0.35">
      <c r="A76" s="43"/>
      <c r="B76" s="44"/>
      <c r="C76" s="44"/>
      <c r="D76" s="44"/>
      <c r="E76" s="44"/>
      <c r="F76" s="44"/>
      <c r="G76" s="44"/>
      <c r="H76" s="44"/>
      <c r="I76" s="44"/>
      <c r="J76" s="44"/>
      <c r="K76" s="44"/>
      <c r="L76" s="44"/>
    </row>
    <row r="77" spans="1:13" ht="24.75" customHeight="1" thickBot="1" x14ac:dyDescent="0.35">
      <c r="A77" s="45" t="s">
        <v>2</v>
      </c>
      <c r="B77" s="46">
        <f>SUM(B64:B75)</f>
        <v>701980735</v>
      </c>
      <c r="C77" s="46">
        <f>SUM(C64:C75)</f>
        <v>2758157</v>
      </c>
      <c r="D77" s="46"/>
      <c r="E77" s="46"/>
      <c r="F77" s="46"/>
      <c r="G77" s="46"/>
      <c r="H77" s="46"/>
      <c r="I77" s="46"/>
      <c r="J77" s="46">
        <f>SUM(J64:J75)</f>
        <v>9881500</v>
      </c>
      <c r="K77" s="46">
        <f>SUM(K64:K75)</f>
        <v>253710</v>
      </c>
      <c r="L77" s="47">
        <f>SUM(L64:L75)</f>
        <v>0</v>
      </c>
      <c r="M77" t="s">
        <v>131</v>
      </c>
    </row>
    <row r="78" spans="1:13" ht="14.4" x14ac:dyDescent="0.3">
      <c r="A78" s="35"/>
      <c r="B78" s="35"/>
      <c r="C78" s="35"/>
      <c r="D78" s="35"/>
      <c r="E78" s="35"/>
      <c r="F78" s="35"/>
      <c r="G78" s="35"/>
      <c r="H78" s="35"/>
      <c r="I78" s="35"/>
      <c r="J78" s="35"/>
      <c r="K78" s="35"/>
      <c r="L78" s="35"/>
    </row>
    <row r="79" spans="1:13" ht="24.75" customHeight="1" x14ac:dyDescent="0.3">
      <c r="A79" s="28">
        <f>DATE(2002,1,1)</f>
        <v>37257</v>
      </c>
      <c r="B79" s="29">
        <v>68607887</v>
      </c>
      <c r="C79" s="29">
        <v>143594</v>
      </c>
      <c r="D79" s="29"/>
      <c r="E79" s="29"/>
      <c r="F79" s="29"/>
      <c r="G79" s="29"/>
      <c r="H79" s="29"/>
      <c r="I79" s="29"/>
      <c r="J79" s="29">
        <v>0</v>
      </c>
      <c r="K79" s="29">
        <v>0</v>
      </c>
      <c r="L79" s="42" t="s">
        <v>7</v>
      </c>
    </row>
    <row r="80" spans="1:13" ht="24.75" customHeight="1" x14ac:dyDescent="0.3">
      <c r="A80" s="28">
        <f>DATE(2002,2,1)</f>
        <v>37288</v>
      </c>
      <c r="B80" s="29">
        <v>65123613</v>
      </c>
      <c r="C80" s="29">
        <v>119498</v>
      </c>
      <c r="D80" s="29"/>
      <c r="E80" s="29"/>
      <c r="F80" s="29"/>
      <c r="G80" s="29"/>
      <c r="H80" s="29"/>
      <c r="I80" s="29"/>
      <c r="J80" s="29">
        <v>654544</v>
      </c>
      <c r="K80" s="29">
        <v>0</v>
      </c>
      <c r="L80" s="42" t="s">
        <v>7</v>
      </c>
    </row>
    <row r="81" spans="1:12" ht="24.75" customHeight="1" x14ac:dyDescent="0.3">
      <c r="A81" s="28">
        <f>DATE(2002,3,1)</f>
        <v>37316</v>
      </c>
      <c r="B81" s="29">
        <v>70640454</v>
      </c>
      <c r="C81" s="29">
        <v>137838</v>
      </c>
      <c r="D81" s="29"/>
      <c r="E81" s="29"/>
      <c r="F81" s="29"/>
      <c r="G81" s="29"/>
      <c r="H81" s="29"/>
      <c r="I81" s="29"/>
      <c r="J81" s="29">
        <v>1357108</v>
      </c>
      <c r="K81" s="29">
        <v>0</v>
      </c>
      <c r="L81" s="42" t="s">
        <v>7</v>
      </c>
    </row>
    <row r="82" spans="1:12" ht="24.75" customHeight="1" x14ac:dyDescent="0.3">
      <c r="A82" s="28">
        <f>DATE(2002,4,1)</f>
        <v>37347</v>
      </c>
      <c r="B82" s="29">
        <v>72277686</v>
      </c>
      <c r="C82" s="29">
        <v>145882</v>
      </c>
      <c r="D82" s="29"/>
      <c r="E82" s="29"/>
      <c r="F82" s="29"/>
      <c r="G82" s="29"/>
      <c r="H82" s="29"/>
      <c r="I82" s="29"/>
      <c r="J82" s="29">
        <v>76615</v>
      </c>
      <c r="K82" s="29">
        <v>0</v>
      </c>
      <c r="L82" s="42" t="s">
        <v>7</v>
      </c>
    </row>
    <row r="83" spans="1:12" ht="24.75" customHeight="1" x14ac:dyDescent="0.3">
      <c r="A83" s="28">
        <f>DATE(2002,5,1)</f>
        <v>37377</v>
      </c>
      <c r="B83" s="29">
        <v>73775280</v>
      </c>
      <c r="C83" s="29">
        <v>144936</v>
      </c>
      <c r="D83" s="29"/>
      <c r="E83" s="29"/>
      <c r="F83" s="29"/>
      <c r="G83" s="29"/>
      <c r="H83" s="29"/>
      <c r="I83" s="29"/>
      <c r="J83" s="29">
        <v>441228</v>
      </c>
      <c r="K83" s="29">
        <v>0</v>
      </c>
      <c r="L83" s="42" t="s">
        <v>7</v>
      </c>
    </row>
    <row r="84" spans="1:12" ht="24.75" customHeight="1" x14ac:dyDescent="0.3">
      <c r="A84" s="28">
        <f>DATE(2002,6,1)</f>
        <v>37408</v>
      </c>
      <c r="B84" s="29">
        <v>89671547</v>
      </c>
      <c r="C84" s="29">
        <v>151252</v>
      </c>
      <c r="D84" s="29"/>
      <c r="E84" s="29"/>
      <c r="F84" s="29"/>
      <c r="G84" s="29"/>
      <c r="H84" s="29"/>
      <c r="I84" s="29"/>
      <c r="J84" s="29">
        <v>746937</v>
      </c>
      <c r="K84" s="29">
        <v>0</v>
      </c>
      <c r="L84" s="42" t="s">
        <v>7</v>
      </c>
    </row>
    <row r="85" spans="1:12" ht="24.75" customHeight="1" x14ac:dyDescent="0.3">
      <c r="A85" s="28">
        <f>DATE(2002,7,1)</f>
        <v>37438</v>
      </c>
      <c r="B85" s="29">
        <v>65788639</v>
      </c>
      <c r="C85" s="29">
        <v>383571</v>
      </c>
      <c r="D85" s="29"/>
      <c r="E85" s="29"/>
      <c r="F85" s="29"/>
      <c r="G85" s="29"/>
      <c r="H85" s="29"/>
      <c r="I85" s="29"/>
      <c r="J85" s="29">
        <v>203212</v>
      </c>
      <c r="K85" s="29">
        <v>1510</v>
      </c>
      <c r="L85" s="42" t="s">
        <v>7</v>
      </c>
    </row>
    <row r="86" spans="1:12" ht="24.75" customHeight="1" x14ac:dyDescent="0.3">
      <c r="A86" s="28">
        <f>DATE(2002,8,1)</f>
        <v>37469</v>
      </c>
      <c r="B86" s="29">
        <v>99322304</v>
      </c>
      <c r="C86" s="29">
        <v>17839665</v>
      </c>
      <c r="D86" s="29"/>
      <c r="E86" s="29"/>
      <c r="F86" s="29"/>
      <c r="G86" s="29"/>
      <c r="H86" s="29"/>
      <c r="I86" s="29"/>
      <c r="J86" s="29">
        <v>0</v>
      </c>
      <c r="K86" s="29">
        <v>50385</v>
      </c>
      <c r="L86" s="42" t="s">
        <v>7</v>
      </c>
    </row>
    <row r="87" spans="1:12" ht="24.75" customHeight="1" x14ac:dyDescent="0.3">
      <c r="A87" s="28">
        <f>DATE(2002,9,1)</f>
        <v>37500</v>
      </c>
      <c r="B87" s="29">
        <v>92810343</v>
      </c>
      <c r="C87" s="29">
        <v>16096034</v>
      </c>
      <c r="D87" s="29"/>
      <c r="E87" s="29"/>
      <c r="F87" s="29"/>
      <c r="G87" s="29"/>
      <c r="H87" s="29"/>
      <c r="I87" s="29"/>
      <c r="J87" s="29">
        <v>150529</v>
      </c>
      <c r="K87" s="29">
        <v>0</v>
      </c>
      <c r="L87" s="42" t="s">
        <v>7</v>
      </c>
    </row>
    <row r="88" spans="1:12" ht="24.75" customHeight="1" x14ac:dyDescent="0.3">
      <c r="A88" s="28">
        <f>DATE(2002,10,1)</f>
        <v>37530</v>
      </c>
      <c r="B88" s="29">
        <v>101257845</v>
      </c>
      <c r="C88" s="29">
        <v>20426207</v>
      </c>
      <c r="D88" s="29"/>
      <c r="E88" s="29"/>
      <c r="F88" s="29"/>
      <c r="G88" s="29"/>
      <c r="H88" s="29"/>
      <c r="I88" s="29"/>
      <c r="J88" s="29">
        <v>0</v>
      </c>
      <c r="K88" s="29">
        <v>52865</v>
      </c>
      <c r="L88" s="42" t="s">
        <v>7</v>
      </c>
    </row>
    <row r="89" spans="1:12" ht="24.75" customHeight="1" x14ac:dyDescent="0.3">
      <c r="A89" s="28">
        <f>DATE(2002,11,1)</f>
        <v>37561</v>
      </c>
      <c r="B89" s="29">
        <v>89012763</v>
      </c>
      <c r="C89" s="29">
        <v>17629065</v>
      </c>
      <c r="D89" s="29"/>
      <c r="E89" s="29"/>
      <c r="F89" s="29"/>
      <c r="G89" s="29"/>
      <c r="H89" s="29"/>
      <c r="I89" s="29"/>
      <c r="J89" s="29">
        <v>0</v>
      </c>
      <c r="K89" s="29">
        <v>122546</v>
      </c>
      <c r="L89" s="42" t="s">
        <v>7</v>
      </c>
    </row>
    <row r="90" spans="1:12" ht="24.75" customHeight="1" x14ac:dyDescent="0.3">
      <c r="A90" s="28">
        <f>DATE(2002,12,1)</f>
        <v>37591</v>
      </c>
      <c r="B90" s="29">
        <v>86670602</v>
      </c>
      <c r="C90" s="29">
        <v>17443202</v>
      </c>
      <c r="D90" s="29"/>
      <c r="E90" s="29"/>
      <c r="F90" s="29"/>
      <c r="G90" s="29"/>
      <c r="H90" s="29"/>
      <c r="I90" s="29"/>
      <c r="J90" s="29">
        <v>0</v>
      </c>
      <c r="K90" s="29">
        <v>4300</v>
      </c>
      <c r="L90" s="42" t="s">
        <v>7</v>
      </c>
    </row>
    <row r="91" spans="1:12" ht="15" thickBot="1" x14ac:dyDescent="0.35">
      <c r="A91" s="35"/>
      <c r="B91" s="35"/>
      <c r="C91" s="35"/>
      <c r="D91" s="35"/>
      <c r="E91" s="35"/>
      <c r="F91" s="35"/>
      <c r="G91" s="35"/>
      <c r="H91" s="35"/>
      <c r="I91" s="35"/>
      <c r="J91" s="35"/>
      <c r="K91" s="35"/>
      <c r="L91" s="35"/>
    </row>
    <row r="92" spans="1:12" ht="24.75" customHeight="1" thickBot="1" x14ac:dyDescent="0.35">
      <c r="A92" s="45" t="s">
        <v>132</v>
      </c>
      <c r="B92" s="46">
        <f>SUM(B79:B90)</f>
        <v>974958963</v>
      </c>
      <c r="C92" s="46">
        <f>SUM(C79:C90)</f>
        <v>90660744</v>
      </c>
      <c r="D92" s="46"/>
      <c r="E92" s="46"/>
      <c r="F92" s="46"/>
      <c r="G92" s="46"/>
      <c r="H92" s="46"/>
      <c r="I92" s="46"/>
      <c r="J92" s="46">
        <f>SUM(J79:J90)</f>
        <v>3630173</v>
      </c>
      <c r="K92" s="46">
        <f>SUM(K79:K90)</f>
        <v>231606</v>
      </c>
      <c r="L92" s="47">
        <f>SUM(L79:L90)</f>
        <v>0</v>
      </c>
    </row>
    <row r="93" spans="1:12" ht="14.4" x14ac:dyDescent="0.3">
      <c r="A93" s="35"/>
      <c r="B93" s="35"/>
      <c r="C93" s="35"/>
      <c r="D93" s="35"/>
      <c r="E93" s="35"/>
      <c r="F93" s="35"/>
      <c r="G93" s="35"/>
      <c r="H93" s="35"/>
      <c r="I93" s="35"/>
      <c r="J93" s="35"/>
      <c r="K93" s="35"/>
      <c r="L93" s="35"/>
    </row>
    <row r="94" spans="1:12" ht="24.75" customHeight="1" x14ac:dyDescent="0.3">
      <c r="A94" s="28">
        <f>DATE(2003,1,1)</f>
        <v>37622</v>
      </c>
      <c r="B94" s="29">
        <v>92601493</v>
      </c>
      <c r="C94" s="29">
        <v>110206903</v>
      </c>
      <c r="D94" s="29"/>
      <c r="E94" s="29"/>
      <c r="F94" s="29"/>
      <c r="G94" s="29"/>
      <c r="H94" s="29"/>
      <c r="I94" s="29"/>
      <c r="J94" s="29">
        <v>129631</v>
      </c>
      <c r="K94" s="48">
        <v>45032</v>
      </c>
      <c r="L94" s="40" t="s">
        <v>137</v>
      </c>
    </row>
    <row r="95" spans="1:12" ht="24.75" customHeight="1" x14ac:dyDescent="0.3">
      <c r="A95" s="28">
        <f>DATE(2003,2,1)</f>
        <v>37653</v>
      </c>
      <c r="B95" s="29">
        <v>83873921</v>
      </c>
      <c r="C95" s="29">
        <v>17136571</v>
      </c>
      <c r="D95" s="29"/>
      <c r="E95" s="29"/>
      <c r="F95" s="29"/>
      <c r="G95" s="29"/>
      <c r="H95" s="29"/>
      <c r="I95" s="29"/>
      <c r="J95" s="29">
        <v>263142</v>
      </c>
      <c r="K95" s="29">
        <v>29887</v>
      </c>
      <c r="L95" s="40" t="s">
        <v>137</v>
      </c>
    </row>
    <row r="96" spans="1:12" ht="24.75" customHeight="1" x14ac:dyDescent="0.3">
      <c r="A96" s="28">
        <f>DATE(2003,3,1)</f>
        <v>37681</v>
      </c>
      <c r="B96" s="29">
        <v>94161402</v>
      </c>
      <c r="C96" s="29">
        <v>19900333</v>
      </c>
      <c r="D96" s="29"/>
      <c r="E96" s="29"/>
      <c r="F96" s="29"/>
      <c r="G96" s="29"/>
      <c r="H96" s="29"/>
      <c r="I96" s="29"/>
      <c r="J96" s="29">
        <v>126511</v>
      </c>
      <c r="K96" s="49">
        <v>0</v>
      </c>
      <c r="L96" s="40" t="s">
        <v>137</v>
      </c>
    </row>
    <row r="97" spans="1:12" ht="24.75" customHeight="1" x14ac:dyDescent="0.3">
      <c r="A97" s="28">
        <f>DATE(2003,4,1)</f>
        <v>37712</v>
      </c>
      <c r="B97" s="29">
        <v>91544489</v>
      </c>
      <c r="C97" s="29">
        <v>18373538</v>
      </c>
      <c r="D97" s="29"/>
      <c r="E97" s="29"/>
      <c r="F97" s="29"/>
      <c r="G97" s="29"/>
      <c r="H97" s="29"/>
      <c r="I97" s="29"/>
      <c r="J97" s="29">
        <v>30138</v>
      </c>
      <c r="K97" s="49">
        <v>0</v>
      </c>
      <c r="L97" s="40" t="s">
        <v>137</v>
      </c>
    </row>
    <row r="98" spans="1:12" ht="24.75" customHeight="1" x14ac:dyDescent="0.3">
      <c r="A98" s="28">
        <f>DATE(2003,5,1)</f>
        <v>37742</v>
      </c>
      <c r="B98" s="29">
        <v>91591807</v>
      </c>
      <c r="C98" s="29">
        <v>2352484</v>
      </c>
      <c r="D98" s="29"/>
      <c r="E98" s="29"/>
      <c r="F98" s="29"/>
      <c r="G98" s="29"/>
      <c r="H98" s="29"/>
      <c r="I98" s="29"/>
      <c r="J98" s="29">
        <v>117916</v>
      </c>
      <c r="K98" s="29">
        <v>5511</v>
      </c>
      <c r="L98" s="40" t="s">
        <v>137</v>
      </c>
    </row>
    <row r="99" spans="1:12" ht="24.75" customHeight="1" x14ac:dyDescent="0.3">
      <c r="A99" s="28">
        <f>DATE(2003,6,1)</f>
        <v>37773</v>
      </c>
      <c r="B99" s="29">
        <v>90182244</v>
      </c>
      <c r="C99" s="29">
        <v>19422231</v>
      </c>
      <c r="D99" s="29"/>
      <c r="E99" s="29"/>
      <c r="F99" s="29"/>
      <c r="G99" s="29"/>
      <c r="H99" s="29"/>
      <c r="I99" s="29"/>
      <c r="J99" s="49">
        <v>0</v>
      </c>
      <c r="K99" s="49">
        <v>0</v>
      </c>
      <c r="L99" s="40" t="s">
        <v>137</v>
      </c>
    </row>
    <row r="100" spans="1:12" ht="24.75" customHeight="1" x14ac:dyDescent="0.3">
      <c r="A100" s="28">
        <f>DATE(2003,7,1)</f>
        <v>37803</v>
      </c>
      <c r="B100" s="29">
        <v>92122922</v>
      </c>
      <c r="C100" s="29">
        <v>19759510</v>
      </c>
      <c r="D100" s="29"/>
      <c r="E100" s="29"/>
      <c r="F100" s="29"/>
      <c r="G100" s="29"/>
      <c r="H100" s="29"/>
      <c r="I100" s="29"/>
      <c r="J100" s="29">
        <v>686764</v>
      </c>
      <c r="K100" s="29">
        <v>12900</v>
      </c>
      <c r="L100" s="40" t="s">
        <v>137</v>
      </c>
    </row>
    <row r="101" spans="1:12" ht="24.75" customHeight="1" x14ac:dyDescent="0.3">
      <c r="A101" s="28">
        <f>DATE(2003,8,1)</f>
        <v>37834</v>
      </c>
      <c r="B101" s="29">
        <v>94096202</v>
      </c>
      <c r="C101" s="29">
        <v>19862602</v>
      </c>
      <c r="D101" s="29"/>
      <c r="E101" s="29"/>
      <c r="F101" s="29"/>
      <c r="G101" s="29"/>
      <c r="H101" s="29"/>
      <c r="I101" s="29"/>
      <c r="J101" s="49">
        <v>0</v>
      </c>
      <c r="K101" s="29">
        <v>41417</v>
      </c>
      <c r="L101" s="40" t="s">
        <v>137</v>
      </c>
    </row>
    <row r="102" spans="1:12" ht="24.75" customHeight="1" x14ac:dyDescent="0.3">
      <c r="A102" s="28">
        <f>DATE(2003,9,1)</f>
        <v>37865</v>
      </c>
      <c r="B102" s="29">
        <v>95944817</v>
      </c>
      <c r="C102" s="29">
        <v>21110258</v>
      </c>
      <c r="D102" s="29"/>
      <c r="E102" s="29"/>
      <c r="F102" s="29"/>
      <c r="G102" s="29"/>
      <c r="H102" s="29"/>
      <c r="I102" s="29"/>
      <c r="J102" s="29">
        <v>45493</v>
      </c>
      <c r="K102" s="29">
        <v>32446</v>
      </c>
      <c r="L102" s="40" t="s">
        <v>137</v>
      </c>
    </row>
    <row r="103" spans="1:12" ht="24.75" customHeight="1" x14ac:dyDescent="0.3">
      <c r="A103" s="28">
        <f>DATE(2003,10,1)</f>
        <v>37895</v>
      </c>
      <c r="B103" s="29">
        <v>106022016</v>
      </c>
      <c r="C103" s="29">
        <v>25456407</v>
      </c>
      <c r="D103" s="29"/>
      <c r="E103" s="29"/>
      <c r="F103" s="29"/>
      <c r="G103" s="29"/>
      <c r="H103" s="29"/>
      <c r="I103" s="29"/>
      <c r="J103" s="29">
        <v>322912</v>
      </c>
      <c r="K103" s="29">
        <v>27451</v>
      </c>
      <c r="L103" s="40" t="s">
        <v>137</v>
      </c>
    </row>
    <row r="104" spans="1:12" ht="24.75" customHeight="1" x14ac:dyDescent="0.3">
      <c r="A104" s="28">
        <f>DATE(2003,11,1)</f>
        <v>37926</v>
      </c>
      <c r="B104" s="29">
        <v>85676634</v>
      </c>
      <c r="C104" s="29">
        <v>17882834</v>
      </c>
      <c r="D104" s="29"/>
      <c r="E104" s="29"/>
      <c r="F104" s="29"/>
      <c r="G104" s="29"/>
      <c r="H104" s="29"/>
      <c r="I104" s="29"/>
      <c r="J104" s="49">
        <v>0</v>
      </c>
      <c r="K104" s="29">
        <v>148266</v>
      </c>
      <c r="L104" s="40" t="s">
        <v>137</v>
      </c>
    </row>
    <row r="105" spans="1:12" ht="24.75" customHeight="1" x14ac:dyDescent="0.3">
      <c r="A105" s="28">
        <f>DATE(2003,12,1)</f>
        <v>37956</v>
      </c>
      <c r="B105" s="29">
        <v>89057065</v>
      </c>
      <c r="C105" s="29">
        <v>18155220</v>
      </c>
      <c r="D105" s="29"/>
      <c r="E105" s="29"/>
      <c r="F105" s="29"/>
      <c r="G105" s="29"/>
      <c r="H105" s="29"/>
      <c r="I105" s="29"/>
      <c r="J105" s="29">
        <v>42143</v>
      </c>
      <c r="K105" s="49">
        <v>944</v>
      </c>
      <c r="L105" s="40" t="s">
        <v>137</v>
      </c>
    </row>
    <row r="106" spans="1:12" ht="15" thickBot="1" x14ac:dyDescent="0.35">
      <c r="A106" s="35"/>
      <c r="B106" s="35"/>
      <c r="C106" s="35"/>
      <c r="D106" s="35"/>
      <c r="E106" s="35"/>
      <c r="F106" s="35"/>
      <c r="G106" s="35"/>
      <c r="H106" s="35"/>
      <c r="I106" s="35"/>
      <c r="J106" s="35"/>
      <c r="K106" s="35"/>
      <c r="L106" s="35"/>
    </row>
    <row r="107" spans="1:12" ht="24.75" customHeight="1" thickBot="1" x14ac:dyDescent="0.35">
      <c r="A107" s="50" t="s">
        <v>2</v>
      </c>
      <c r="B107" s="51">
        <f>SUM(B94:B105)</f>
        <v>1106875012</v>
      </c>
      <c r="C107" s="51">
        <f>SUM(C94:C105)</f>
        <v>309618891</v>
      </c>
      <c r="D107" s="51"/>
      <c r="E107" s="51"/>
      <c r="F107" s="51"/>
      <c r="G107" s="51"/>
      <c r="H107" s="51"/>
      <c r="I107" s="51"/>
      <c r="J107" s="51">
        <f>SUM(J94:J105)</f>
        <v>1764650</v>
      </c>
      <c r="K107" s="51">
        <f>SUM(K94:K105)</f>
        <v>343854</v>
      </c>
      <c r="L107" s="52">
        <f>SUM(L94:L105)</f>
        <v>0</v>
      </c>
    </row>
    <row r="108" spans="1:12" ht="14.4" x14ac:dyDescent="0.3">
      <c r="A108" s="35"/>
      <c r="B108" s="35"/>
      <c r="C108" s="35"/>
      <c r="D108" s="35"/>
      <c r="E108" s="35"/>
      <c r="F108" s="35"/>
      <c r="G108" s="35"/>
      <c r="H108" s="35"/>
      <c r="I108" s="35"/>
      <c r="J108" s="35"/>
      <c r="K108" s="35"/>
      <c r="L108" s="35"/>
    </row>
    <row r="109" spans="1:12" ht="24.75" customHeight="1" x14ac:dyDescent="0.3">
      <c r="A109" s="28">
        <f>DATE(2004,1,1)</f>
        <v>37987</v>
      </c>
      <c r="B109" s="29">
        <v>90355281</v>
      </c>
      <c r="C109" s="29">
        <v>18322512</v>
      </c>
      <c r="D109" s="29"/>
      <c r="E109" s="29"/>
      <c r="F109" s="29"/>
      <c r="G109" s="29"/>
      <c r="H109" s="29"/>
      <c r="I109" s="29"/>
      <c r="J109" s="29">
        <v>201205</v>
      </c>
      <c r="K109" s="29">
        <v>55703</v>
      </c>
      <c r="L109" s="40" t="s">
        <v>137</v>
      </c>
    </row>
    <row r="110" spans="1:12" ht="24.75" customHeight="1" x14ac:dyDescent="0.3">
      <c r="A110" s="28">
        <f>DATE(2004,2,1)</f>
        <v>38018</v>
      </c>
      <c r="B110" s="29">
        <v>86236608</v>
      </c>
      <c r="C110" s="29">
        <v>17602293</v>
      </c>
      <c r="D110" s="29"/>
      <c r="E110" s="29"/>
      <c r="F110" s="29"/>
      <c r="G110" s="29"/>
      <c r="H110" s="29"/>
      <c r="I110" s="29"/>
      <c r="J110" s="49">
        <v>0</v>
      </c>
      <c r="K110" s="29">
        <v>42024</v>
      </c>
      <c r="L110" s="40" t="s">
        <v>137</v>
      </c>
    </row>
    <row r="111" spans="1:12" ht="24.75" customHeight="1" x14ac:dyDescent="0.3">
      <c r="A111" s="28">
        <f>DATE(2004,3,1)</f>
        <v>38047</v>
      </c>
      <c r="B111" s="29">
        <v>103168903</v>
      </c>
      <c r="C111" s="29">
        <v>20784721</v>
      </c>
      <c r="D111" s="29"/>
      <c r="E111" s="29"/>
      <c r="F111" s="29"/>
      <c r="G111" s="29"/>
      <c r="H111" s="29"/>
      <c r="I111" s="29"/>
      <c r="J111" s="29">
        <v>173625</v>
      </c>
      <c r="K111" s="29">
        <v>80870</v>
      </c>
      <c r="L111" s="40" t="s">
        <v>137</v>
      </c>
    </row>
    <row r="112" spans="1:12" ht="24.75" customHeight="1" x14ac:dyDescent="0.3">
      <c r="A112" s="28">
        <f>DATE(2004,4,1)</f>
        <v>38078</v>
      </c>
      <c r="B112" s="29">
        <v>98308898</v>
      </c>
      <c r="C112" s="29">
        <v>19144269</v>
      </c>
      <c r="D112" s="29"/>
      <c r="E112" s="29"/>
      <c r="F112" s="29"/>
      <c r="G112" s="29"/>
      <c r="H112" s="29"/>
      <c r="I112" s="29"/>
      <c r="J112" s="29">
        <v>409610</v>
      </c>
      <c r="K112" s="29">
        <v>2938</v>
      </c>
      <c r="L112" s="40" t="s">
        <v>137</v>
      </c>
    </row>
    <row r="113" spans="1:12" ht="24.75" customHeight="1" x14ac:dyDescent="0.3">
      <c r="A113" s="28">
        <f>DATE(2004,5,1)</f>
        <v>38108</v>
      </c>
      <c r="B113" s="29">
        <v>96128947</v>
      </c>
      <c r="C113" s="29">
        <v>19170919</v>
      </c>
      <c r="D113" s="29"/>
      <c r="E113" s="29"/>
      <c r="F113" s="29"/>
      <c r="G113" s="29"/>
      <c r="H113" s="29"/>
      <c r="I113" s="29"/>
      <c r="J113" s="49">
        <v>0</v>
      </c>
      <c r="K113" s="49">
        <v>0</v>
      </c>
      <c r="L113" s="40" t="s">
        <v>137</v>
      </c>
    </row>
    <row r="114" spans="1:12" ht="24.75" customHeight="1" x14ac:dyDescent="0.3">
      <c r="A114" s="28">
        <f>DATE(2004,6,1)</f>
        <v>38139</v>
      </c>
      <c r="B114" s="29">
        <v>103852283</v>
      </c>
      <c r="C114" s="29">
        <v>22166039</v>
      </c>
      <c r="D114" s="29"/>
      <c r="E114" s="29"/>
      <c r="F114" s="29"/>
      <c r="G114" s="29"/>
      <c r="H114" s="29"/>
      <c r="I114" s="29"/>
      <c r="J114" s="49">
        <v>0</v>
      </c>
      <c r="K114" s="49">
        <v>8064</v>
      </c>
      <c r="L114" s="40" t="s">
        <v>137</v>
      </c>
    </row>
    <row r="115" spans="1:12" ht="24.75" customHeight="1" x14ac:dyDescent="0.3">
      <c r="A115" s="28">
        <f>DATE(2004,7,1)</f>
        <v>38169</v>
      </c>
      <c r="B115" s="29">
        <v>92483104</v>
      </c>
      <c r="C115" s="29">
        <v>18546947</v>
      </c>
      <c r="D115" s="29"/>
      <c r="E115" s="29"/>
      <c r="F115" s="29"/>
      <c r="G115" s="29"/>
      <c r="H115" s="29"/>
      <c r="I115" s="29"/>
      <c r="J115" s="29">
        <v>98187</v>
      </c>
      <c r="K115" s="29">
        <v>15752</v>
      </c>
      <c r="L115" s="40" t="s">
        <v>137</v>
      </c>
    </row>
    <row r="116" spans="1:12" ht="24.75" customHeight="1" x14ac:dyDescent="0.3">
      <c r="A116" s="28">
        <f>DATE(2004,8,1)</f>
        <v>38200</v>
      </c>
      <c r="B116" s="29">
        <v>103199801</v>
      </c>
      <c r="C116" s="29">
        <v>22365852</v>
      </c>
      <c r="D116" s="29"/>
      <c r="E116" s="29"/>
      <c r="F116" s="29"/>
      <c r="G116" s="29"/>
      <c r="H116" s="29"/>
      <c r="I116" s="29"/>
      <c r="J116" s="49">
        <v>0</v>
      </c>
      <c r="K116" s="29">
        <v>62306</v>
      </c>
      <c r="L116" s="40" t="s">
        <v>137</v>
      </c>
    </row>
    <row r="117" spans="1:12" ht="24.75" customHeight="1" x14ac:dyDescent="0.3">
      <c r="A117" s="28">
        <f>DATE(2004,9,1)</f>
        <v>38231</v>
      </c>
      <c r="B117" s="29">
        <v>100913554</v>
      </c>
      <c r="C117" s="29">
        <v>21159774</v>
      </c>
      <c r="D117" s="29"/>
      <c r="E117" s="29"/>
      <c r="F117" s="29"/>
      <c r="G117" s="29"/>
      <c r="H117" s="29"/>
      <c r="I117" s="29"/>
      <c r="J117" s="49">
        <v>0</v>
      </c>
      <c r="K117" s="49">
        <v>923</v>
      </c>
      <c r="L117" s="40" t="s">
        <v>137</v>
      </c>
    </row>
    <row r="118" spans="1:12" ht="24.75" customHeight="1" x14ac:dyDescent="0.3">
      <c r="A118" s="28">
        <f>DATE(2004,10,1)</f>
        <v>38261</v>
      </c>
      <c r="B118" s="29">
        <v>98725519</v>
      </c>
      <c r="C118" s="29">
        <v>19002217</v>
      </c>
      <c r="D118" s="29"/>
      <c r="E118" s="29"/>
      <c r="F118" s="29"/>
      <c r="G118" s="29"/>
      <c r="H118" s="29"/>
      <c r="I118" s="29"/>
      <c r="J118" s="49">
        <v>0</v>
      </c>
      <c r="K118" s="29">
        <v>42564</v>
      </c>
      <c r="L118" s="40" t="s">
        <v>137</v>
      </c>
    </row>
    <row r="119" spans="1:12" ht="24.75" customHeight="1" x14ac:dyDescent="0.3">
      <c r="A119" s="28">
        <f>DATE(2004,11,1)</f>
        <v>38292</v>
      </c>
      <c r="B119" s="29">
        <v>93251598</v>
      </c>
      <c r="C119" s="29">
        <v>18422295</v>
      </c>
      <c r="D119" s="29"/>
      <c r="E119" s="29"/>
      <c r="F119" s="29"/>
      <c r="G119" s="29"/>
      <c r="H119" s="29"/>
      <c r="I119" s="29"/>
      <c r="J119" s="29">
        <v>193512</v>
      </c>
      <c r="K119" s="29">
        <v>93747</v>
      </c>
      <c r="L119" s="40" t="s">
        <v>137</v>
      </c>
    </row>
    <row r="120" spans="1:12" ht="24.75" customHeight="1" x14ac:dyDescent="0.3">
      <c r="A120" s="28">
        <f>DATE(2004,12,1)</f>
        <v>38322</v>
      </c>
      <c r="B120" s="29">
        <v>93502482</v>
      </c>
      <c r="C120" s="29">
        <v>18735737</v>
      </c>
      <c r="D120" s="29"/>
      <c r="E120" s="29"/>
      <c r="F120" s="29"/>
      <c r="G120" s="29"/>
      <c r="H120" s="29"/>
      <c r="I120" s="29"/>
      <c r="J120" s="29">
        <v>0</v>
      </c>
      <c r="K120" s="29">
        <v>6484</v>
      </c>
      <c r="L120" s="40" t="s">
        <v>137</v>
      </c>
    </row>
    <row r="121" spans="1:12" ht="13.5" customHeight="1" thickBot="1" x14ac:dyDescent="0.35">
      <c r="A121" s="43"/>
      <c r="B121" s="43"/>
      <c r="C121" s="43"/>
      <c r="D121" s="43"/>
      <c r="E121" s="43"/>
      <c r="F121" s="43"/>
      <c r="G121" s="43"/>
      <c r="H121" s="43"/>
      <c r="I121" s="43"/>
      <c r="J121" s="43"/>
      <c r="K121" s="43"/>
      <c r="L121" s="43"/>
    </row>
    <row r="122" spans="1:12" ht="24.75" customHeight="1" thickBot="1" x14ac:dyDescent="0.35">
      <c r="A122" s="53" t="s">
        <v>2</v>
      </c>
      <c r="B122" s="54">
        <f>SUM(B109:B120)</f>
        <v>1160126978</v>
      </c>
      <c r="C122" s="54">
        <f>SUM(C109:C120)</f>
        <v>235423575</v>
      </c>
      <c r="D122" s="54"/>
      <c r="E122" s="54"/>
      <c r="F122" s="54"/>
      <c r="G122" s="54"/>
      <c r="H122" s="54"/>
      <c r="I122" s="54"/>
      <c r="J122" s="54">
        <f>SUM(J109:J120)</f>
        <v>1076139</v>
      </c>
      <c r="K122" s="54">
        <f>SUM(K109:K120)</f>
        <v>411375</v>
      </c>
      <c r="L122" s="55">
        <f>SUM(L109:L120)</f>
        <v>0</v>
      </c>
    </row>
    <row r="123" spans="1:12" ht="24.9" customHeight="1" x14ac:dyDescent="0.3">
      <c r="A123" s="35"/>
      <c r="B123" s="35"/>
      <c r="C123" s="35"/>
      <c r="D123" s="35"/>
      <c r="E123" s="35"/>
      <c r="F123" s="35"/>
      <c r="G123" s="35"/>
      <c r="H123" s="35"/>
      <c r="I123" s="35"/>
      <c r="J123" s="35"/>
      <c r="K123" s="35"/>
      <c r="L123" s="35"/>
    </row>
    <row r="124" spans="1:12" ht="24.9" customHeight="1" x14ac:dyDescent="0.3">
      <c r="A124" s="28">
        <f>DATE(2005,1,1)</f>
        <v>38353</v>
      </c>
      <c r="B124" s="29">
        <v>91139760</v>
      </c>
      <c r="C124" s="29">
        <v>17709942</v>
      </c>
      <c r="D124" s="29"/>
      <c r="E124" s="29"/>
      <c r="F124" s="29"/>
      <c r="G124" s="29"/>
      <c r="H124" s="29"/>
      <c r="I124" s="29"/>
      <c r="J124" s="29">
        <v>155791</v>
      </c>
      <c r="K124" s="29">
        <v>59701</v>
      </c>
      <c r="L124" s="40" t="s">
        <v>137</v>
      </c>
    </row>
    <row r="125" spans="1:12" ht="24.9" customHeight="1" x14ac:dyDescent="0.3">
      <c r="A125" s="28">
        <f>DATE(2005,2,1)</f>
        <v>38384</v>
      </c>
      <c r="B125" s="29">
        <v>88817950</v>
      </c>
      <c r="C125" s="29">
        <v>17202535</v>
      </c>
      <c r="D125" s="29"/>
      <c r="E125" s="29"/>
      <c r="F125" s="29"/>
      <c r="G125" s="29"/>
      <c r="H125" s="29"/>
      <c r="I125" s="29"/>
      <c r="J125" s="49">
        <v>0</v>
      </c>
      <c r="K125" s="29">
        <v>20439</v>
      </c>
      <c r="L125" s="40" t="s">
        <v>137</v>
      </c>
    </row>
    <row r="126" spans="1:12" ht="24.9" customHeight="1" x14ac:dyDescent="0.3">
      <c r="A126" s="28">
        <f>DATE(2005,3,1)</f>
        <v>38412</v>
      </c>
      <c r="B126" s="29">
        <v>102022704</v>
      </c>
      <c r="C126" s="29">
        <v>20352591</v>
      </c>
      <c r="D126" s="29"/>
      <c r="E126" s="29"/>
      <c r="F126" s="29"/>
      <c r="G126" s="29"/>
      <c r="H126" s="29"/>
      <c r="I126" s="29"/>
      <c r="J126" s="29">
        <v>171434</v>
      </c>
      <c r="K126" s="29">
        <v>0</v>
      </c>
      <c r="L126" s="40" t="s">
        <v>137</v>
      </c>
    </row>
    <row r="127" spans="1:12" ht="24.9" customHeight="1" x14ac:dyDescent="0.3">
      <c r="A127" s="28">
        <f>DATE(2005,4,1)</f>
        <v>38443</v>
      </c>
      <c r="B127" s="29">
        <v>99949570</v>
      </c>
      <c r="C127" s="29">
        <v>21074082</v>
      </c>
      <c r="D127" s="29"/>
      <c r="E127" s="29"/>
      <c r="F127" s="29"/>
      <c r="G127" s="29"/>
      <c r="H127" s="29"/>
      <c r="I127" s="29"/>
      <c r="J127" s="29">
        <v>1456138</v>
      </c>
      <c r="K127" s="29">
        <v>1822</v>
      </c>
      <c r="L127" s="40" t="s">
        <v>137</v>
      </c>
    </row>
    <row r="128" spans="1:12" ht="24.9" customHeight="1" x14ac:dyDescent="0.3">
      <c r="A128" s="28">
        <f>DATE(2005,5,1)</f>
        <v>38473</v>
      </c>
      <c r="B128" s="29">
        <v>98333751</v>
      </c>
      <c r="C128" s="29">
        <v>21115255</v>
      </c>
      <c r="D128" s="29"/>
      <c r="E128" s="29"/>
      <c r="F128" s="29"/>
      <c r="G128" s="29"/>
      <c r="H128" s="29"/>
      <c r="I128" s="29"/>
      <c r="J128" s="29">
        <v>207545</v>
      </c>
      <c r="K128" s="29">
        <v>0</v>
      </c>
      <c r="L128" s="40" t="s">
        <v>137</v>
      </c>
    </row>
    <row r="129" spans="1:12" ht="24.9" customHeight="1" x14ac:dyDescent="0.3">
      <c r="A129" s="28">
        <f>DATE(2005,6,1)</f>
        <v>38504</v>
      </c>
      <c r="B129" s="29">
        <v>104705280</v>
      </c>
      <c r="C129" s="29">
        <v>22354396</v>
      </c>
      <c r="D129" s="29"/>
      <c r="E129" s="29"/>
      <c r="F129" s="29"/>
      <c r="G129" s="29"/>
      <c r="H129" s="29"/>
      <c r="I129" s="29"/>
      <c r="J129" s="29">
        <v>60554</v>
      </c>
      <c r="K129" s="29">
        <v>184466</v>
      </c>
      <c r="L129" s="40" t="s">
        <v>137</v>
      </c>
    </row>
    <row r="130" spans="1:12" ht="24.9" customHeight="1" x14ac:dyDescent="0.3">
      <c r="A130" s="28">
        <f>DATE(2005,7,1)</f>
        <v>38534</v>
      </c>
      <c r="B130" s="29">
        <v>92593648</v>
      </c>
      <c r="C130" s="29">
        <v>18313351</v>
      </c>
      <c r="D130" s="29"/>
      <c r="E130" s="29"/>
      <c r="F130" s="29"/>
      <c r="G130" s="29"/>
      <c r="H130" s="29"/>
      <c r="I130" s="29"/>
      <c r="J130" s="29">
        <v>162608</v>
      </c>
      <c r="K130" s="29">
        <v>51078</v>
      </c>
      <c r="L130" s="40" t="s">
        <v>137</v>
      </c>
    </row>
    <row r="131" spans="1:12" ht="24.9" customHeight="1" x14ac:dyDescent="0.3">
      <c r="A131" s="28">
        <f>DATE(2005,8,1)</f>
        <v>38565</v>
      </c>
      <c r="B131" s="29">
        <v>105559315</v>
      </c>
      <c r="C131" s="29">
        <v>22629474</v>
      </c>
      <c r="D131" s="29"/>
      <c r="E131" s="29"/>
      <c r="F131" s="29"/>
      <c r="G131" s="29"/>
      <c r="H131" s="29"/>
      <c r="I131" s="29"/>
      <c r="J131" s="29">
        <v>146733</v>
      </c>
      <c r="K131" s="29">
        <v>0</v>
      </c>
      <c r="L131" s="40" t="s">
        <v>137</v>
      </c>
    </row>
    <row r="132" spans="1:12" ht="24.9" customHeight="1" x14ac:dyDescent="0.3">
      <c r="A132" s="28">
        <f>DATE(2005,9,1)</f>
        <v>38596</v>
      </c>
      <c r="B132" s="29">
        <v>102148939</v>
      </c>
      <c r="C132" s="29">
        <v>22706021</v>
      </c>
      <c r="D132" s="29"/>
      <c r="E132" s="29"/>
      <c r="F132" s="29"/>
      <c r="G132" s="29"/>
      <c r="H132" s="29"/>
      <c r="I132" s="29"/>
      <c r="J132" s="49">
        <v>0</v>
      </c>
      <c r="K132" s="29">
        <v>3471</v>
      </c>
      <c r="L132" s="40" t="s">
        <v>137</v>
      </c>
    </row>
    <row r="133" spans="1:12" ht="24.9" customHeight="1" x14ac:dyDescent="0.3">
      <c r="A133" s="28">
        <f>DATE(2005,10,1)</f>
        <v>38626</v>
      </c>
      <c r="B133" s="29">
        <v>99493792</v>
      </c>
      <c r="C133" s="29">
        <v>22104189</v>
      </c>
      <c r="D133" s="29"/>
      <c r="E133" s="29"/>
      <c r="F133" s="29"/>
      <c r="G133" s="29"/>
      <c r="H133" s="29"/>
      <c r="I133" s="29"/>
      <c r="J133" s="29">
        <v>520901</v>
      </c>
      <c r="K133" s="29">
        <v>33027</v>
      </c>
      <c r="L133" s="40" t="s">
        <v>137</v>
      </c>
    </row>
    <row r="134" spans="1:12" ht="24.9" customHeight="1" x14ac:dyDescent="0.3">
      <c r="A134" s="28">
        <f>DATE(2005,11,1)</f>
        <v>38657</v>
      </c>
      <c r="B134" s="29">
        <v>111360332</v>
      </c>
      <c r="C134" s="29">
        <v>20096511</v>
      </c>
      <c r="D134" s="29"/>
      <c r="E134" s="29"/>
      <c r="F134" s="29"/>
      <c r="G134" s="29"/>
      <c r="H134" s="29"/>
      <c r="I134" s="29"/>
      <c r="J134" s="29">
        <v>0</v>
      </c>
      <c r="K134" s="29">
        <v>19576</v>
      </c>
      <c r="L134" s="40" t="s">
        <v>137</v>
      </c>
    </row>
    <row r="135" spans="1:12" ht="24.9" customHeight="1" x14ac:dyDescent="0.3">
      <c r="A135" s="28">
        <f>DATE(2005,12,1)</f>
        <v>38687</v>
      </c>
      <c r="B135" s="29">
        <v>94777009</v>
      </c>
      <c r="C135" s="29">
        <v>19083908</v>
      </c>
      <c r="D135" s="29"/>
      <c r="E135" s="29"/>
      <c r="F135" s="29"/>
      <c r="G135" s="29"/>
      <c r="H135" s="29"/>
      <c r="I135" s="29"/>
      <c r="J135" s="49">
        <v>0</v>
      </c>
      <c r="K135" s="49">
        <v>0</v>
      </c>
      <c r="L135" s="40" t="s">
        <v>137</v>
      </c>
    </row>
    <row r="136" spans="1:12" ht="24.9" customHeight="1" thickBot="1" x14ac:dyDescent="0.35">
      <c r="A136" s="43"/>
      <c r="B136" s="43"/>
      <c r="C136" s="43"/>
      <c r="D136" s="43"/>
      <c r="E136" s="43"/>
      <c r="F136" s="43"/>
      <c r="G136" s="43"/>
      <c r="H136" s="43"/>
      <c r="I136" s="43"/>
      <c r="J136" s="43"/>
      <c r="K136" s="43"/>
      <c r="L136" s="43"/>
    </row>
    <row r="137" spans="1:12" ht="24.9" customHeight="1" thickBot="1" x14ac:dyDescent="0.35">
      <c r="A137" s="53" t="s">
        <v>2</v>
      </c>
      <c r="B137" s="54">
        <f>SUM(B124:B135)</f>
        <v>1190902050</v>
      </c>
      <c r="C137" s="54">
        <f>SUM(C124:C135)</f>
        <v>244742255</v>
      </c>
      <c r="D137" s="54"/>
      <c r="E137" s="54"/>
      <c r="F137" s="54"/>
      <c r="G137" s="54"/>
      <c r="H137" s="54"/>
      <c r="I137" s="54"/>
      <c r="J137" s="54">
        <f>SUM(J124:J135)</f>
        <v>2881704</v>
      </c>
      <c r="K137" s="54">
        <f>SUM(K124:K135)</f>
        <v>373580</v>
      </c>
      <c r="L137" s="55">
        <f>SUM(L124:L135)</f>
        <v>0</v>
      </c>
    </row>
    <row r="138" spans="1:12" ht="24.9" customHeight="1" x14ac:dyDescent="0.3">
      <c r="A138" s="35"/>
      <c r="B138" s="35"/>
      <c r="C138" s="35"/>
      <c r="D138" s="35"/>
      <c r="E138" s="35"/>
      <c r="F138" s="35"/>
      <c r="G138" s="35"/>
      <c r="H138" s="35"/>
      <c r="I138" s="35"/>
      <c r="J138" s="35"/>
      <c r="K138" s="35"/>
      <c r="L138" s="35"/>
    </row>
    <row r="139" spans="1:12" ht="24.9" customHeight="1" x14ac:dyDescent="0.3">
      <c r="A139" s="35"/>
      <c r="B139" s="35"/>
      <c r="C139" s="35"/>
      <c r="D139" s="35"/>
      <c r="E139" s="35"/>
      <c r="F139" s="35"/>
      <c r="G139" s="35"/>
      <c r="H139" s="35"/>
      <c r="I139" s="35"/>
      <c r="J139" s="35"/>
      <c r="K139" s="35"/>
      <c r="L139" s="35"/>
    </row>
    <row r="140" spans="1:12" ht="24.9" customHeight="1" x14ac:dyDescent="0.3">
      <c r="A140" s="28">
        <f>DATE(2006,1,1)</f>
        <v>38718</v>
      </c>
      <c r="B140" s="57">
        <v>94853178</v>
      </c>
      <c r="C140" s="57">
        <v>19187759</v>
      </c>
      <c r="D140" s="57"/>
      <c r="E140" s="57"/>
      <c r="F140" s="57"/>
      <c r="G140" s="57"/>
      <c r="H140" s="57"/>
      <c r="I140" s="57"/>
      <c r="J140" s="57">
        <v>4320</v>
      </c>
      <c r="K140" s="57">
        <v>184344</v>
      </c>
      <c r="L140" s="57" t="s">
        <v>137</v>
      </c>
    </row>
    <row r="141" spans="1:12" ht="24.9" customHeight="1" x14ac:dyDescent="0.3">
      <c r="A141" s="28">
        <f>DATE(2006,2,1)</f>
        <v>38749</v>
      </c>
      <c r="B141" s="57">
        <v>90003258</v>
      </c>
      <c r="C141" s="57">
        <v>18341094</v>
      </c>
      <c r="D141" s="57"/>
      <c r="E141" s="57"/>
      <c r="F141" s="57"/>
      <c r="G141" s="57"/>
      <c r="H141" s="57"/>
      <c r="I141" s="57"/>
      <c r="J141" s="57">
        <v>153472</v>
      </c>
      <c r="K141" s="57">
        <v>0</v>
      </c>
      <c r="L141" s="57" t="s">
        <v>137</v>
      </c>
    </row>
    <row r="142" spans="1:12" ht="24.9" customHeight="1" x14ac:dyDescent="0.3">
      <c r="A142" s="28">
        <f>DATE(2006,3,1)</f>
        <v>38777</v>
      </c>
      <c r="B142" s="57">
        <v>105969361</v>
      </c>
      <c r="C142" s="57">
        <v>21539612</v>
      </c>
      <c r="D142" s="57"/>
      <c r="E142" s="57"/>
      <c r="F142" s="57"/>
      <c r="G142" s="57"/>
      <c r="H142" s="57"/>
      <c r="I142" s="57"/>
      <c r="J142" s="57">
        <v>376970</v>
      </c>
      <c r="K142" s="57">
        <v>0</v>
      </c>
      <c r="L142" s="57" t="s">
        <v>137</v>
      </c>
    </row>
    <row r="143" spans="1:12" ht="24.9" customHeight="1" x14ac:dyDescent="0.3">
      <c r="A143" s="28">
        <f>DATE(2006,4,1)</f>
        <v>38808</v>
      </c>
      <c r="B143" s="57">
        <v>96961015</v>
      </c>
      <c r="C143" s="57">
        <v>20191355</v>
      </c>
      <c r="D143" s="57"/>
      <c r="E143" s="57"/>
      <c r="F143" s="57"/>
      <c r="G143" s="57"/>
      <c r="H143" s="57"/>
      <c r="I143" s="57"/>
      <c r="J143" s="57">
        <v>1541324</v>
      </c>
      <c r="K143" s="57">
        <v>1000</v>
      </c>
      <c r="L143" s="57" t="s">
        <v>137</v>
      </c>
    </row>
    <row r="144" spans="1:12" ht="24.9" customHeight="1" x14ac:dyDescent="0.3">
      <c r="A144" s="28">
        <f>DATE(2006,5,1)</f>
        <v>38838</v>
      </c>
      <c r="B144" s="57">
        <v>103298033</v>
      </c>
      <c r="C144" s="57">
        <v>22387061</v>
      </c>
      <c r="D144" s="57"/>
      <c r="E144" s="57"/>
      <c r="F144" s="57"/>
      <c r="G144" s="57"/>
      <c r="H144" s="57"/>
      <c r="I144" s="57"/>
      <c r="J144" s="57">
        <v>1184301</v>
      </c>
      <c r="K144" s="57">
        <v>0</v>
      </c>
      <c r="L144" s="57" t="s">
        <v>137</v>
      </c>
    </row>
    <row r="145" spans="1:12" ht="24.9" customHeight="1" x14ac:dyDescent="0.3">
      <c r="A145" s="28">
        <f>DATE(2006,6,1)</f>
        <v>38869</v>
      </c>
      <c r="B145" s="57">
        <v>103603868</v>
      </c>
      <c r="C145" s="57">
        <v>22252855</v>
      </c>
      <c r="D145" s="57"/>
      <c r="E145" s="57"/>
      <c r="F145" s="57"/>
      <c r="G145" s="57"/>
      <c r="H145" s="57"/>
      <c r="I145" s="57"/>
      <c r="J145" s="57">
        <v>198053</v>
      </c>
      <c r="K145" s="57">
        <v>0</v>
      </c>
      <c r="L145" s="57" t="s">
        <v>137</v>
      </c>
    </row>
    <row r="146" spans="1:12" ht="24.9" customHeight="1" x14ac:dyDescent="0.3">
      <c r="A146" s="28">
        <f>DATE(2006,7,1)</f>
        <v>38899</v>
      </c>
      <c r="B146" s="57">
        <v>91916248</v>
      </c>
      <c r="C146" s="57">
        <v>18409499</v>
      </c>
      <c r="D146" s="57"/>
      <c r="E146" s="57"/>
      <c r="F146" s="57"/>
      <c r="G146" s="57"/>
      <c r="H146" s="57"/>
      <c r="I146" s="57"/>
      <c r="J146" s="57">
        <v>0</v>
      </c>
      <c r="K146" s="57">
        <v>39832</v>
      </c>
      <c r="L146" s="57" t="s">
        <v>137</v>
      </c>
    </row>
    <row r="147" spans="1:12" ht="24.9" customHeight="1" x14ac:dyDescent="0.3">
      <c r="A147" s="28">
        <f>DATE(2006,8,1)</f>
        <v>38930</v>
      </c>
      <c r="B147" s="57">
        <v>107326705</v>
      </c>
      <c r="C147" s="57">
        <v>23664468</v>
      </c>
      <c r="D147" s="57"/>
      <c r="E147" s="57"/>
      <c r="F147" s="57"/>
      <c r="G147" s="57"/>
      <c r="H147" s="57"/>
      <c r="I147" s="57"/>
      <c r="J147" s="57">
        <v>0</v>
      </c>
      <c r="K147" s="57">
        <v>0</v>
      </c>
      <c r="L147" s="57" t="s">
        <v>137</v>
      </c>
    </row>
    <row r="148" spans="1:12" ht="24.9" customHeight="1" x14ac:dyDescent="0.3">
      <c r="A148" s="28">
        <f>DATE(2006,9,1)</f>
        <v>38961</v>
      </c>
      <c r="B148" s="57">
        <v>96132292</v>
      </c>
      <c r="C148" s="57">
        <v>19447591</v>
      </c>
      <c r="D148" s="57"/>
      <c r="E148" s="57"/>
      <c r="F148" s="57"/>
      <c r="G148" s="57"/>
      <c r="H148" s="57"/>
      <c r="I148" s="57"/>
      <c r="J148" s="57">
        <v>0</v>
      </c>
      <c r="K148" s="57">
        <v>0</v>
      </c>
      <c r="L148" s="57" t="s">
        <v>137</v>
      </c>
    </row>
    <row r="149" spans="1:12" ht="24.9" customHeight="1" x14ac:dyDescent="0.3">
      <c r="A149" s="28">
        <f>DATE(2006,10,1)</f>
        <v>38991</v>
      </c>
      <c r="B149" s="57">
        <v>104597991</v>
      </c>
      <c r="C149" s="57">
        <v>22556011</v>
      </c>
      <c r="D149" s="57"/>
      <c r="E149" s="57"/>
      <c r="F149" s="57"/>
      <c r="G149" s="57"/>
      <c r="H149" s="57"/>
      <c r="I149" s="57"/>
      <c r="J149" s="57">
        <v>146778</v>
      </c>
      <c r="K149" s="57">
        <v>96717</v>
      </c>
      <c r="L149" s="57" t="s">
        <v>137</v>
      </c>
    </row>
    <row r="150" spans="1:12" ht="24.9" customHeight="1" x14ac:dyDescent="0.3">
      <c r="A150" s="28">
        <f>DATE(2006,11,1)</f>
        <v>39022</v>
      </c>
      <c r="B150" s="57">
        <v>95853686</v>
      </c>
      <c r="C150" s="57">
        <v>18085042</v>
      </c>
      <c r="D150" s="57"/>
      <c r="E150" s="57"/>
      <c r="F150" s="57"/>
      <c r="G150" s="57"/>
      <c r="H150" s="57"/>
      <c r="I150" s="57"/>
      <c r="J150" s="57">
        <v>0</v>
      </c>
      <c r="K150" s="57">
        <v>17642</v>
      </c>
      <c r="L150" s="57" t="s">
        <v>137</v>
      </c>
    </row>
    <row r="151" spans="1:12" ht="24.9" customHeight="1" x14ac:dyDescent="0.3">
      <c r="A151" s="28">
        <f>DATE(2006,12,1)</f>
        <v>39052</v>
      </c>
      <c r="B151" s="57">
        <v>88826527</v>
      </c>
      <c r="C151" s="57">
        <v>16933614</v>
      </c>
      <c r="D151" s="57"/>
      <c r="E151" s="57"/>
      <c r="F151" s="57"/>
      <c r="G151" s="57"/>
      <c r="H151" s="57"/>
      <c r="I151" s="57"/>
      <c r="J151" s="57">
        <v>603033</v>
      </c>
      <c r="K151" s="57">
        <v>138658</v>
      </c>
      <c r="L151" s="57" t="s">
        <v>137</v>
      </c>
    </row>
    <row r="152" spans="1:12" ht="24.9" customHeight="1" thickBot="1" x14ac:dyDescent="0.35">
      <c r="A152" s="43"/>
      <c r="B152" s="58"/>
      <c r="C152" s="58"/>
      <c r="D152" s="58"/>
      <c r="E152" s="58"/>
      <c r="F152" s="58"/>
      <c r="G152" s="58"/>
      <c r="H152" s="58"/>
      <c r="I152" s="58"/>
      <c r="J152" s="58"/>
      <c r="K152" s="58"/>
      <c r="L152" s="58"/>
    </row>
    <row r="153" spans="1:12" ht="24.9" customHeight="1" thickBot="1" x14ac:dyDescent="0.35">
      <c r="A153" s="59" t="s">
        <v>155</v>
      </c>
      <c r="B153" s="60">
        <f>SUM(B140:B151)</f>
        <v>1179342162</v>
      </c>
      <c r="C153" s="60">
        <f>SUM(C140:C151)</f>
        <v>242995961</v>
      </c>
      <c r="D153" s="60"/>
      <c r="E153" s="60"/>
      <c r="F153" s="60"/>
      <c r="G153" s="60"/>
      <c r="H153" s="60"/>
      <c r="I153" s="60"/>
      <c r="J153" s="60">
        <f>SUM(J140:J151)</f>
        <v>4208251</v>
      </c>
      <c r="K153" s="60">
        <f>SUM(K140:K152)</f>
        <v>478193</v>
      </c>
      <c r="L153" s="60">
        <f>SUM(L140:L151)</f>
        <v>0</v>
      </c>
    </row>
    <row r="154" spans="1:12" ht="24.9" customHeight="1" x14ac:dyDescent="0.3">
      <c r="A154" s="35"/>
      <c r="B154" s="35"/>
      <c r="C154" s="35"/>
      <c r="D154" s="35"/>
      <c r="E154" s="35"/>
      <c r="F154" s="35"/>
      <c r="G154" s="35"/>
      <c r="H154" s="35"/>
      <c r="I154" s="35"/>
      <c r="J154" s="35"/>
      <c r="K154" s="35"/>
      <c r="L154" s="35"/>
    </row>
    <row r="155" spans="1:12" ht="24.9" customHeight="1" x14ac:dyDescent="0.3">
      <c r="A155" s="28">
        <f>DATE(2007,1,1)</f>
        <v>39083</v>
      </c>
      <c r="B155" s="57">
        <v>96763072</v>
      </c>
      <c r="C155" s="57">
        <v>19468927</v>
      </c>
      <c r="D155" s="57"/>
      <c r="E155" s="57"/>
      <c r="F155" s="57"/>
      <c r="G155" s="57"/>
      <c r="H155" s="57"/>
      <c r="I155" s="57"/>
      <c r="J155" s="57">
        <v>578723</v>
      </c>
      <c r="K155" s="57">
        <v>147216</v>
      </c>
      <c r="L155" s="57" t="s">
        <v>137</v>
      </c>
    </row>
    <row r="156" spans="1:12" ht="24.9" customHeight="1" x14ac:dyDescent="0.3">
      <c r="A156" s="28">
        <f>DATE(2007,2,1)</f>
        <v>39114</v>
      </c>
      <c r="B156" s="57">
        <v>88805911</v>
      </c>
      <c r="C156" s="57">
        <v>17077972</v>
      </c>
      <c r="D156" s="57"/>
      <c r="E156" s="57"/>
      <c r="F156" s="57"/>
      <c r="G156" s="57"/>
      <c r="H156" s="57"/>
      <c r="I156" s="57"/>
      <c r="J156" s="57">
        <v>0</v>
      </c>
      <c r="K156" s="57">
        <v>18579</v>
      </c>
      <c r="L156" s="57" t="s">
        <v>137</v>
      </c>
    </row>
    <row r="157" spans="1:12" ht="24.9" customHeight="1" x14ac:dyDescent="0.3">
      <c r="A157" s="28">
        <f>DATE(2007,3,1)</f>
        <v>39142</v>
      </c>
      <c r="B157" s="57">
        <v>102836137</v>
      </c>
      <c r="C157" s="57">
        <v>19899731</v>
      </c>
      <c r="D157" s="57"/>
      <c r="E157" s="57"/>
      <c r="F157" s="57"/>
      <c r="G157" s="57"/>
      <c r="H157" s="57"/>
      <c r="I157" s="57"/>
      <c r="J157" s="57">
        <v>252080</v>
      </c>
      <c r="K157" s="57">
        <v>0</v>
      </c>
      <c r="L157" s="57" t="s">
        <v>137</v>
      </c>
    </row>
    <row r="158" spans="1:12" ht="24.9" customHeight="1" x14ac:dyDescent="0.3">
      <c r="A158" s="28">
        <f>DATE(2007,4,1)</f>
        <v>39173</v>
      </c>
      <c r="B158" s="57">
        <v>96071433</v>
      </c>
      <c r="C158" s="57">
        <v>18557885</v>
      </c>
      <c r="D158" s="57"/>
      <c r="E158" s="57"/>
      <c r="F158" s="57"/>
      <c r="G158" s="57"/>
      <c r="H158" s="57"/>
      <c r="I158" s="57"/>
      <c r="J158" s="57">
        <v>0</v>
      </c>
      <c r="K158" s="57">
        <v>5101</v>
      </c>
      <c r="L158" s="57" t="s">
        <v>137</v>
      </c>
    </row>
    <row r="159" spans="1:12" ht="24.9" customHeight="1" x14ac:dyDescent="0.3">
      <c r="A159" s="28">
        <f>DATE(2007,5,1)</f>
        <v>39203</v>
      </c>
      <c r="B159" s="57">
        <v>106861115</v>
      </c>
      <c r="C159" s="57">
        <v>24085633</v>
      </c>
      <c r="D159" s="57"/>
      <c r="E159" s="57"/>
      <c r="F159" s="57"/>
      <c r="G159" s="57"/>
      <c r="H159" s="57"/>
      <c r="I159" s="57"/>
      <c r="J159" s="57">
        <v>3227865</v>
      </c>
      <c r="K159" s="57">
        <v>0</v>
      </c>
      <c r="L159" s="57" t="s">
        <v>137</v>
      </c>
    </row>
    <row r="160" spans="1:12" ht="24.9" customHeight="1" x14ac:dyDescent="0.3">
      <c r="A160" s="28">
        <f>DATE(2007,6,1)</f>
        <v>39234</v>
      </c>
      <c r="B160" s="57">
        <v>99422402</v>
      </c>
      <c r="C160" s="57">
        <v>20235907</v>
      </c>
      <c r="D160" s="57"/>
      <c r="E160" s="57"/>
      <c r="F160" s="57"/>
      <c r="G160" s="57"/>
      <c r="H160" s="57"/>
      <c r="I160" s="57"/>
      <c r="J160" s="57">
        <v>0</v>
      </c>
      <c r="K160" s="57">
        <v>0</v>
      </c>
      <c r="L160" s="57" t="s">
        <v>137</v>
      </c>
    </row>
    <row r="161" spans="1:12" ht="24.9" customHeight="1" x14ac:dyDescent="0.3">
      <c r="A161" s="28">
        <f>DATE(2007,7,1)</f>
        <v>39264</v>
      </c>
      <c r="B161" s="57">
        <v>94937774</v>
      </c>
      <c r="C161" s="57">
        <v>18476873</v>
      </c>
      <c r="D161" s="57"/>
      <c r="E161" s="57"/>
      <c r="F161" s="57"/>
      <c r="G161" s="57"/>
      <c r="H161" s="57"/>
      <c r="I161" s="57"/>
      <c r="J161" s="57">
        <v>145727</v>
      </c>
      <c r="K161" s="57">
        <v>51337</v>
      </c>
      <c r="L161" s="57" t="s">
        <v>137</v>
      </c>
    </row>
    <row r="162" spans="1:12" ht="24.9" customHeight="1" x14ac:dyDescent="0.3">
      <c r="A162" s="28">
        <f>DATE(2007,8,1)</f>
        <v>39295</v>
      </c>
      <c r="B162" s="57">
        <v>102206398</v>
      </c>
      <c r="C162" s="57">
        <v>18470010</v>
      </c>
      <c r="D162" s="57"/>
      <c r="E162" s="57"/>
      <c r="F162" s="57"/>
      <c r="G162" s="57"/>
      <c r="H162" s="57"/>
      <c r="I162" s="57"/>
      <c r="J162" s="57">
        <v>0</v>
      </c>
      <c r="K162" s="57">
        <v>9748</v>
      </c>
      <c r="L162" s="57" t="s">
        <v>137</v>
      </c>
    </row>
    <row r="163" spans="1:12" ht="24.9" customHeight="1" x14ac:dyDescent="0.3">
      <c r="A163" s="28">
        <f>DATE(2007,9,1)</f>
        <v>39326</v>
      </c>
      <c r="B163" s="57">
        <v>92159355</v>
      </c>
      <c r="C163" s="57">
        <v>19091196</v>
      </c>
      <c r="D163" s="57"/>
      <c r="E163" s="57"/>
      <c r="F163" s="57"/>
      <c r="G163" s="57"/>
      <c r="H163" s="57"/>
      <c r="I163" s="57"/>
      <c r="J163" s="57">
        <v>0</v>
      </c>
      <c r="K163" s="57">
        <v>0</v>
      </c>
      <c r="L163" s="57" t="s">
        <v>137</v>
      </c>
    </row>
    <row r="164" spans="1:12" ht="24.9" customHeight="1" x14ac:dyDescent="0.3">
      <c r="A164" s="28">
        <f>DATE(2007,10,1)</f>
        <v>39356</v>
      </c>
      <c r="B164" s="57">
        <v>106036816</v>
      </c>
      <c r="C164" s="57">
        <v>21333397</v>
      </c>
      <c r="D164" s="57"/>
      <c r="E164" s="57"/>
      <c r="F164" s="57"/>
      <c r="G164" s="57"/>
      <c r="H164" s="57"/>
      <c r="I164" s="57"/>
      <c r="J164" s="57">
        <v>0</v>
      </c>
      <c r="K164" s="57">
        <v>0</v>
      </c>
      <c r="L164" s="57" t="s">
        <v>137</v>
      </c>
    </row>
    <row r="165" spans="1:12" ht="24.9" customHeight="1" x14ac:dyDescent="0.3">
      <c r="A165" s="28">
        <f>DATE(2007,11,1)</f>
        <v>39387</v>
      </c>
      <c r="B165" s="57">
        <v>97771190</v>
      </c>
      <c r="C165" s="57">
        <v>18782989</v>
      </c>
      <c r="D165" s="57"/>
      <c r="E165" s="57"/>
      <c r="F165" s="57"/>
      <c r="G165" s="57"/>
      <c r="H165" s="57"/>
      <c r="I165" s="57"/>
      <c r="J165" s="57">
        <v>0</v>
      </c>
      <c r="K165" s="57">
        <v>156689</v>
      </c>
      <c r="L165" s="57" t="s">
        <v>137</v>
      </c>
    </row>
    <row r="166" spans="1:12" ht="24.9" customHeight="1" x14ac:dyDescent="0.3">
      <c r="A166" s="28">
        <f>DATE(2007,12,1)</f>
        <v>39417</v>
      </c>
      <c r="B166" s="57">
        <v>86228989</v>
      </c>
      <c r="C166" s="57">
        <v>16166845</v>
      </c>
      <c r="D166" s="57"/>
      <c r="E166" s="57"/>
      <c r="F166" s="57"/>
      <c r="G166" s="57"/>
      <c r="H166" s="57"/>
      <c r="I166" s="57"/>
      <c r="J166" s="57">
        <v>728557</v>
      </c>
      <c r="K166" s="57">
        <v>0</v>
      </c>
      <c r="L166" s="57" t="s">
        <v>137</v>
      </c>
    </row>
    <row r="167" spans="1:12" ht="24.9" customHeight="1" thickBot="1" x14ac:dyDescent="0.35">
      <c r="A167" s="43"/>
      <c r="B167" s="58"/>
      <c r="C167" s="58"/>
      <c r="D167" s="58"/>
      <c r="E167" s="58"/>
      <c r="F167" s="58"/>
      <c r="G167" s="58"/>
      <c r="H167" s="58"/>
      <c r="I167" s="58"/>
      <c r="J167" s="58"/>
      <c r="K167" s="58"/>
      <c r="L167" s="58"/>
    </row>
    <row r="168" spans="1:12" ht="24.9" customHeight="1" thickBot="1" x14ac:dyDescent="0.35">
      <c r="A168" s="59" t="s">
        <v>155</v>
      </c>
      <c r="B168" s="60">
        <f>SUM(B155:B166)</f>
        <v>1170100592</v>
      </c>
      <c r="C168" s="60">
        <f>SUM(C155:C166)</f>
        <v>231647365</v>
      </c>
      <c r="D168" s="60"/>
      <c r="E168" s="60"/>
      <c r="F168" s="60"/>
      <c r="G168" s="60"/>
      <c r="H168" s="60"/>
      <c r="I168" s="60"/>
      <c r="J168" s="60">
        <f>SUM(J155:J166)</f>
        <v>4932952</v>
      </c>
      <c r="K168" s="60">
        <f>SUM(K155:K167)</f>
        <v>388670</v>
      </c>
      <c r="L168" s="60">
        <f>SUM(L155:L166)</f>
        <v>0</v>
      </c>
    </row>
    <row r="169" spans="1:12" ht="14.4" x14ac:dyDescent="0.3">
      <c r="A169" s="35"/>
      <c r="B169" s="35"/>
      <c r="C169" s="35"/>
      <c r="D169" s="35"/>
      <c r="E169" s="35"/>
      <c r="F169" s="35"/>
      <c r="G169" s="35"/>
      <c r="H169" s="35"/>
      <c r="I169" s="35"/>
      <c r="J169" s="35"/>
      <c r="K169" s="35"/>
      <c r="L169" s="35"/>
    </row>
    <row r="170" spans="1:12" ht="14.4" x14ac:dyDescent="0.3">
      <c r="A170" s="35"/>
      <c r="B170" s="35"/>
      <c r="C170" s="35"/>
      <c r="D170" s="35"/>
      <c r="E170" s="35"/>
      <c r="F170" s="35"/>
      <c r="G170" s="35"/>
      <c r="H170" s="35"/>
      <c r="I170" s="35"/>
      <c r="J170" s="35"/>
      <c r="K170" s="35"/>
      <c r="L170" s="35"/>
    </row>
    <row r="171" spans="1:12" ht="14.4" x14ac:dyDescent="0.3">
      <c r="A171" s="35"/>
      <c r="B171" s="35"/>
      <c r="C171" s="35"/>
      <c r="D171" s="35"/>
      <c r="E171" s="35"/>
      <c r="F171" s="35"/>
      <c r="G171" s="35"/>
      <c r="H171" s="35"/>
      <c r="I171" s="35"/>
      <c r="J171" s="35"/>
      <c r="K171" s="35"/>
      <c r="L171" s="35"/>
    </row>
    <row r="172" spans="1:12" ht="21.9" customHeight="1" x14ac:dyDescent="0.3">
      <c r="A172" s="56">
        <f>DATE(2008,1,1)</f>
        <v>39448</v>
      </c>
      <c r="B172" s="57">
        <v>88802721</v>
      </c>
      <c r="C172" s="57">
        <v>15304973</v>
      </c>
      <c r="D172" s="57"/>
      <c r="E172" s="57"/>
      <c r="F172" s="57"/>
      <c r="G172" s="57"/>
      <c r="H172" s="57"/>
      <c r="I172" s="57"/>
      <c r="J172" s="57">
        <v>0</v>
      </c>
      <c r="K172" s="57">
        <v>10609</v>
      </c>
      <c r="L172" s="57" t="s">
        <v>137</v>
      </c>
    </row>
    <row r="173" spans="1:12" ht="21.9" customHeight="1" x14ac:dyDescent="0.3">
      <c r="A173" s="56">
        <f>DATE(2008,2,1)</f>
        <v>39479</v>
      </c>
      <c r="B173" s="57">
        <v>86524155</v>
      </c>
      <c r="C173" s="57">
        <v>17083456</v>
      </c>
      <c r="D173" s="57"/>
      <c r="E173" s="57"/>
      <c r="F173" s="57"/>
      <c r="G173" s="57"/>
      <c r="H173" s="57"/>
      <c r="I173" s="57"/>
      <c r="J173" s="57">
        <v>0</v>
      </c>
      <c r="K173" s="57">
        <v>0</v>
      </c>
      <c r="L173" s="57" t="s">
        <v>137</v>
      </c>
    </row>
    <row r="174" spans="1:12" ht="21.9" customHeight="1" x14ac:dyDescent="0.3">
      <c r="A174" s="56">
        <f>DATE(2008,3,1)</f>
        <v>39508</v>
      </c>
      <c r="B174" s="57">
        <v>89932500</v>
      </c>
      <c r="C174" s="57">
        <v>17761481</v>
      </c>
      <c r="D174" s="57"/>
      <c r="E174" s="57"/>
      <c r="F174" s="57"/>
      <c r="G174" s="57"/>
      <c r="H174" s="57"/>
      <c r="I174" s="57"/>
      <c r="J174" s="57">
        <v>0</v>
      </c>
      <c r="K174" s="57">
        <v>0</v>
      </c>
      <c r="L174" s="57" t="s">
        <v>137</v>
      </c>
    </row>
    <row r="175" spans="1:12" ht="21.9" customHeight="1" x14ac:dyDescent="0.3">
      <c r="A175" s="56">
        <f>DATE(2008,4,1)</f>
        <v>39539</v>
      </c>
      <c r="B175" s="57">
        <v>91779725</v>
      </c>
      <c r="C175" s="57">
        <v>17266676</v>
      </c>
      <c r="D175" s="57"/>
      <c r="E175" s="57"/>
      <c r="F175" s="57"/>
      <c r="G175" s="57"/>
      <c r="H175" s="57"/>
      <c r="I175" s="57"/>
      <c r="J175" s="57">
        <v>342</v>
      </c>
      <c r="K175" s="57">
        <v>11103</v>
      </c>
      <c r="L175" s="57" t="s">
        <v>137</v>
      </c>
    </row>
    <row r="176" spans="1:12" ht="21.9" customHeight="1" x14ac:dyDescent="0.3">
      <c r="A176" s="56">
        <f>DATE(2008,5,1)</f>
        <v>39569</v>
      </c>
      <c r="B176" s="57">
        <v>90178080</v>
      </c>
      <c r="C176" s="57">
        <v>16898102</v>
      </c>
      <c r="D176" s="57"/>
      <c r="E176" s="57"/>
      <c r="F176" s="57"/>
      <c r="G176" s="57"/>
      <c r="H176" s="57"/>
      <c r="I176" s="57"/>
      <c r="J176" s="57">
        <v>69598</v>
      </c>
      <c r="K176" s="57">
        <v>16094</v>
      </c>
      <c r="L176" s="57" t="s">
        <v>137</v>
      </c>
    </row>
    <row r="177" spans="1:12" ht="21.9" customHeight="1" x14ac:dyDescent="0.3">
      <c r="A177" s="56">
        <f>DATE(2008,6,1)</f>
        <v>39600</v>
      </c>
      <c r="B177" s="57">
        <v>96248435</v>
      </c>
      <c r="C177" s="57">
        <v>21887773</v>
      </c>
      <c r="D177" s="57"/>
      <c r="E177" s="57"/>
      <c r="F177" s="57"/>
      <c r="G177" s="57"/>
      <c r="H177" s="57"/>
      <c r="I177" s="57"/>
      <c r="J177" s="57">
        <v>17351</v>
      </c>
      <c r="K177" s="57">
        <v>0</v>
      </c>
      <c r="L177" s="57" t="s">
        <v>137</v>
      </c>
    </row>
    <row r="178" spans="1:12" ht="21.9" customHeight="1" x14ac:dyDescent="0.3">
      <c r="A178" s="56">
        <f>DATE(2008,7,1)</f>
        <v>39630</v>
      </c>
      <c r="B178" s="57">
        <v>90968047</v>
      </c>
      <c r="C178" s="57">
        <v>19158840</v>
      </c>
      <c r="D178" s="57"/>
      <c r="E178" s="57"/>
      <c r="F178" s="57"/>
      <c r="G178" s="57"/>
      <c r="H178" s="57"/>
      <c r="I178" s="57"/>
      <c r="J178" s="57">
        <v>23549</v>
      </c>
      <c r="K178" s="57">
        <v>31628</v>
      </c>
      <c r="L178" s="57" t="s">
        <v>137</v>
      </c>
    </row>
    <row r="179" spans="1:12" ht="21.9" customHeight="1" x14ac:dyDescent="0.3">
      <c r="A179" s="56">
        <f>DATE(2008,8,1)</f>
        <v>39661</v>
      </c>
      <c r="B179" s="57">
        <v>92564127</v>
      </c>
      <c r="C179" s="57">
        <v>19985200</v>
      </c>
      <c r="D179" s="57"/>
      <c r="E179" s="57"/>
      <c r="F179" s="57"/>
      <c r="G179" s="57"/>
      <c r="H179" s="57"/>
      <c r="I179" s="57"/>
      <c r="J179" s="57">
        <v>0</v>
      </c>
      <c r="K179" s="57">
        <v>0</v>
      </c>
      <c r="L179" s="57" t="s">
        <v>137</v>
      </c>
    </row>
    <row r="180" spans="1:12" ht="21.9" customHeight="1" x14ac:dyDescent="0.3">
      <c r="A180" s="56">
        <f>DATE(2008,9,1)</f>
        <v>39692</v>
      </c>
      <c r="B180" s="57">
        <v>94285839</v>
      </c>
      <c r="C180" s="57">
        <v>20265525</v>
      </c>
      <c r="D180" s="57"/>
      <c r="E180" s="57"/>
      <c r="F180" s="57"/>
      <c r="G180" s="57"/>
      <c r="H180" s="57"/>
      <c r="I180" s="57"/>
      <c r="J180" s="57">
        <v>13913</v>
      </c>
      <c r="K180" s="57">
        <v>0</v>
      </c>
      <c r="L180" s="57" t="s">
        <v>137</v>
      </c>
    </row>
    <row r="181" spans="1:12" ht="21.9" customHeight="1" x14ac:dyDescent="0.3">
      <c r="A181" s="56">
        <f>DATE(2008,10,1)</f>
        <v>39722</v>
      </c>
      <c r="B181" s="57">
        <v>100120816</v>
      </c>
      <c r="C181" s="57">
        <v>23910672</v>
      </c>
      <c r="D181" s="57"/>
      <c r="E181" s="57"/>
      <c r="F181" s="57"/>
      <c r="G181" s="57"/>
      <c r="H181" s="57"/>
      <c r="I181" s="57"/>
      <c r="J181" s="57">
        <v>0</v>
      </c>
      <c r="K181" s="57">
        <v>36952</v>
      </c>
      <c r="L181" s="57" t="s">
        <v>137</v>
      </c>
    </row>
    <row r="182" spans="1:12" ht="21.9" customHeight="1" x14ac:dyDescent="0.3">
      <c r="A182" s="56">
        <f>DATE(2008,11,1)</f>
        <v>39753</v>
      </c>
      <c r="B182" s="57">
        <v>82580372</v>
      </c>
      <c r="C182" s="57">
        <v>18578162</v>
      </c>
      <c r="D182" s="57"/>
      <c r="E182" s="57"/>
      <c r="F182" s="57"/>
      <c r="G182" s="57"/>
      <c r="H182" s="57"/>
      <c r="I182" s="57"/>
      <c r="J182" s="57">
        <v>0</v>
      </c>
      <c r="K182" s="57">
        <v>5499</v>
      </c>
      <c r="L182" s="57" t="s">
        <v>137</v>
      </c>
    </row>
    <row r="183" spans="1:12" ht="21.9" customHeight="1" x14ac:dyDescent="0.3">
      <c r="A183" s="56">
        <f>DATE(2008,12,1)</f>
        <v>39783</v>
      </c>
      <c r="B183" s="57">
        <v>82133077</v>
      </c>
      <c r="C183" s="57">
        <v>20172690</v>
      </c>
      <c r="D183" s="57"/>
      <c r="E183" s="57"/>
      <c r="F183" s="57"/>
      <c r="G183" s="57"/>
      <c r="H183" s="57"/>
      <c r="I183" s="57"/>
      <c r="J183" s="57">
        <v>9653</v>
      </c>
      <c r="K183" s="57">
        <v>9600</v>
      </c>
      <c r="L183" s="57" t="s">
        <v>137</v>
      </c>
    </row>
    <row r="184" spans="1:12" ht="21.9" customHeight="1" thickBot="1" x14ac:dyDescent="0.35">
      <c r="A184" s="43"/>
      <c r="B184" s="58"/>
      <c r="C184" s="58"/>
      <c r="D184" s="58"/>
      <c r="E184" s="58"/>
      <c r="F184" s="58"/>
      <c r="G184" s="58"/>
      <c r="H184" s="58"/>
      <c r="I184" s="58"/>
      <c r="J184" s="58"/>
      <c r="K184" s="58"/>
      <c r="L184" s="58"/>
    </row>
    <row r="185" spans="1:12" ht="21.9" customHeight="1" thickBot="1" x14ac:dyDescent="0.35">
      <c r="A185" s="59" t="s">
        <v>155</v>
      </c>
      <c r="B185" s="60">
        <f>SUM(B172:B183)</f>
        <v>1086117894</v>
      </c>
      <c r="C185" s="60">
        <f>SUM(C172:C183)</f>
        <v>228273550</v>
      </c>
      <c r="D185" s="60"/>
      <c r="E185" s="60"/>
      <c r="F185" s="60"/>
      <c r="G185" s="60"/>
      <c r="H185" s="60"/>
      <c r="I185" s="60"/>
      <c r="J185" s="60">
        <f>SUM(J172:J183)</f>
        <v>134406</v>
      </c>
      <c r="K185" s="60">
        <f>SUM(K172:K184)</f>
        <v>121485</v>
      </c>
      <c r="L185" s="60">
        <f>SUM(L172:L183)</f>
        <v>0</v>
      </c>
    </row>
    <row r="186" spans="1:12" ht="14.4" x14ac:dyDescent="0.3">
      <c r="A186" s="35"/>
      <c r="B186" s="35"/>
      <c r="C186" s="35"/>
      <c r="D186" s="35"/>
      <c r="E186" s="35"/>
      <c r="F186" s="35"/>
      <c r="G186" s="35"/>
      <c r="H186" s="35"/>
      <c r="I186" s="35"/>
      <c r="J186" s="35"/>
      <c r="K186" s="35"/>
      <c r="L186" s="35"/>
    </row>
    <row r="187" spans="1:12" ht="14.4" x14ac:dyDescent="0.3">
      <c r="A187" s="35"/>
      <c r="B187" s="35"/>
      <c r="C187" s="35"/>
      <c r="D187" s="35"/>
      <c r="E187" s="35"/>
      <c r="F187" s="35"/>
      <c r="G187" s="35"/>
      <c r="H187" s="35"/>
      <c r="I187" s="35"/>
      <c r="J187" s="35"/>
      <c r="K187" s="35"/>
      <c r="L187" s="35"/>
    </row>
    <row r="188" spans="1:12" ht="14.4" x14ac:dyDescent="0.3">
      <c r="A188" s="35"/>
      <c r="B188" s="35"/>
      <c r="C188" s="35"/>
      <c r="D188" s="35"/>
      <c r="E188" s="35"/>
      <c r="F188" s="35"/>
      <c r="G188" s="35"/>
      <c r="H188" s="35"/>
      <c r="I188" s="35"/>
      <c r="J188" s="35"/>
      <c r="K188" s="35"/>
      <c r="L188" s="35"/>
    </row>
    <row r="189" spans="1:12" ht="24" customHeight="1" x14ac:dyDescent="0.3">
      <c r="A189" s="56">
        <f>DATE(2009,1,1)</f>
        <v>39814</v>
      </c>
      <c r="B189" s="57">
        <v>80755566</v>
      </c>
      <c r="C189" s="57">
        <v>20386403</v>
      </c>
      <c r="D189" s="57"/>
      <c r="E189" s="57"/>
      <c r="F189" s="57"/>
      <c r="G189" s="57"/>
      <c r="H189" s="57"/>
      <c r="I189" s="57"/>
      <c r="J189" s="57">
        <v>5554</v>
      </c>
      <c r="K189" s="57">
        <v>117366</v>
      </c>
      <c r="L189" s="57" t="s">
        <v>137</v>
      </c>
    </row>
    <row r="190" spans="1:12" ht="24" customHeight="1" x14ac:dyDescent="0.3">
      <c r="A190" s="56">
        <f>DATE(2009,2,1)</f>
        <v>39845</v>
      </c>
      <c r="B190" s="57">
        <v>79584447</v>
      </c>
      <c r="C190" s="57">
        <v>18743433</v>
      </c>
      <c r="D190" s="57"/>
      <c r="E190" s="57"/>
      <c r="F190" s="57"/>
      <c r="G190" s="57"/>
      <c r="H190" s="57"/>
      <c r="I190" s="57"/>
      <c r="J190" s="57">
        <v>303775</v>
      </c>
      <c r="K190" s="57">
        <v>21104</v>
      </c>
      <c r="L190" s="57" t="s">
        <v>137</v>
      </c>
    </row>
    <row r="191" spans="1:12" ht="24" customHeight="1" x14ac:dyDescent="0.3">
      <c r="A191" s="56">
        <f>DATE(2009,3,1)</f>
        <v>39873</v>
      </c>
      <c r="B191" s="57">
        <v>87287916</v>
      </c>
      <c r="C191" s="57">
        <v>20810011</v>
      </c>
      <c r="D191" s="57"/>
      <c r="E191" s="57"/>
      <c r="F191" s="57"/>
      <c r="G191" s="57"/>
      <c r="H191" s="57"/>
      <c r="I191" s="57"/>
      <c r="J191" s="57">
        <v>0</v>
      </c>
      <c r="K191" s="57">
        <v>0</v>
      </c>
      <c r="L191" s="57" t="s">
        <v>137</v>
      </c>
    </row>
    <row r="192" spans="1:12" ht="24" customHeight="1" x14ac:dyDescent="0.3">
      <c r="A192" s="56">
        <f>DATE(2009,4,1)</f>
        <v>39904</v>
      </c>
      <c r="B192" s="57">
        <v>82911237</v>
      </c>
      <c r="C192" s="57">
        <v>18859128</v>
      </c>
      <c r="D192" s="57"/>
      <c r="E192" s="57"/>
      <c r="F192" s="57"/>
      <c r="G192" s="57"/>
      <c r="H192" s="57"/>
      <c r="I192" s="57"/>
      <c r="J192" s="57">
        <v>0</v>
      </c>
      <c r="K192" s="57">
        <v>6271</v>
      </c>
      <c r="L192" s="57" t="s">
        <v>137</v>
      </c>
    </row>
    <row r="193" spans="1:12" ht="24" customHeight="1" x14ac:dyDescent="0.3">
      <c r="A193" s="56">
        <f>DATE(2009,5,1)</f>
        <v>39934</v>
      </c>
      <c r="B193" s="57">
        <v>80151728</v>
      </c>
      <c r="C193" s="57">
        <v>18083431</v>
      </c>
      <c r="D193" s="57"/>
      <c r="E193" s="57"/>
      <c r="F193" s="57"/>
      <c r="G193" s="57"/>
      <c r="H193" s="57"/>
      <c r="I193" s="57"/>
      <c r="J193" s="57">
        <v>344244</v>
      </c>
      <c r="K193" s="57">
        <v>0</v>
      </c>
      <c r="L193" s="57" t="s">
        <v>137</v>
      </c>
    </row>
    <row r="194" spans="1:12" ht="24" customHeight="1" x14ac:dyDescent="0.3">
      <c r="A194" s="56">
        <f>DATE(2009,6,1)</f>
        <v>39965</v>
      </c>
      <c r="B194" s="57">
        <v>82031527</v>
      </c>
      <c r="C194" s="57">
        <v>18973024</v>
      </c>
      <c r="D194" s="57"/>
      <c r="E194" s="57"/>
      <c r="F194" s="57"/>
      <c r="G194" s="57"/>
      <c r="H194" s="57"/>
      <c r="I194" s="57"/>
      <c r="J194" s="57">
        <v>0</v>
      </c>
      <c r="K194" s="57">
        <v>999</v>
      </c>
      <c r="L194" s="57" t="s">
        <v>137</v>
      </c>
    </row>
    <row r="195" spans="1:12" ht="24" customHeight="1" x14ac:dyDescent="0.3">
      <c r="A195" s="56">
        <f>DATE(2009,7,1)</f>
        <v>39995</v>
      </c>
      <c r="B195" s="57">
        <v>78451501</v>
      </c>
      <c r="C195" s="57">
        <v>16693225</v>
      </c>
      <c r="D195" s="57"/>
      <c r="E195" s="57"/>
      <c r="F195" s="57"/>
      <c r="G195" s="57"/>
      <c r="H195" s="57"/>
      <c r="I195" s="57"/>
      <c r="J195" s="57">
        <v>176040</v>
      </c>
      <c r="K195" s="57">
        <v>597997</v>
      </c>
      <c r="L195" s="57" t="s">
        <v>137</v>
      </c>
    </row>
    <row r="196" spans="1:12" ht="24" customHeight="1" x14ac:dyDescent="0.3">
      <c r="A196" s="56">
        <f>DATE(2009,8,1)</f>
        <v>40026</v>
      </c>
      <c r="B196" s="57">
        <v>82359229</v>
      </c>
      <c r="C196" s="57">
        <v>17134723</v>
      </c>
      <c r="D196" s="57"/>
      <c r="E196" s="57"/>
      <c r="F196" s="57"/>
      <c r="G196" s="57"/>
      <c r="H196" s="57"/>
      <c r="I196" s="57"/>
      <c r="J196" s="57">
        <v>126232</v>
      </c>
      <c r="K196" s="57">
        <v>0</v>
      </c>
      <c r="L196" s="57" t="s">
        <v>137</v>
      </c>
    </row>
    <row r="197" spans="1:12" ht="24" customHeight="1" x14ac:dyDescent="0.3">
      <c r="A197" s="56">
        <f>DATE(2009,9,1)</f>
        <v>40057</v>
      </c>
      <c r="B197" s="57">
        <v>85044665</v>
      </c>
      <c r="C197" s="57">
        <v>18899467</v>
      </c>
      <c r="D197" s="57"/>
      <c r="E197" s="57"/>
      <c r="F197" s="57"/>
      <c r="G197" s="57"/>
      <c r="H197" s="57"/>
      <c r="I197" s="57"/>
      <c r="J197" s="57">
        <v>10532</v>
      </c>
      <c r="K197" s="57">
        <v>11497</v>
      </c>
      <c r="L197" s="57" t="s">
        <v>137</v>
      </c>
    </row>
    <row r="198" spans="1:12" ht="24" customHeight="1" x14ac:dyDescent="0.3">
      <c r="A198" s="56">
        <f>DATE(2009,10,1)</f>
        <v>40087</v>
      </c>
      <c r="B198" s="57">
        <v>86074214</v>
      </c>
      <c r="C198" s="57">
        <v>18849158</v>
      </c>
      <c r="D198" s="57"/>
      <c r="E198" s="57"/>
      <c r="F198" s="57"/>
      <c r="G198" s="57"/>
      <c r="H198" s="57"/>
      <c r="I198" s="57"/>
      <c r="J198" s="57">
        <v>130031</v>
      </c>
      <c r="K198" s="57">
        <v>49919</v>
      </c>
      <c r="L198" s="57" t="s">
        <v>137</v>
      </c>
    </row>
    <row r="199" spans="1:12" ht="24" customHeight="1" x14ac:dyDescent="0.3">
      <c r="A199" s="56">
        <f>DATE(2009,11,1)</f>
        <v>40118</v>
      </c>
      <c r="B199" s="57">
        <v>79392370</v>
      </c>
      <c r="C199" s="57">
        <v>17432340</v>
      </c>
      <c r="D199" s="57"/>
      <c r="E199" s="57"/>
      <c r="F199" s="57"/>
      <c r="G199" s="57"/>
      <c r="H199" s="57"/>
      <c r="I199" s="57"/>
      <c r="J199" s="57">
        <v>0</v>
      </c>
      <c r="K199" s="57">
        <v>70965</v>
      </c>
      <c r="L199" s="57" t="s">
        <v>137</v>
      </c>
    </row>
    <row r="200" spans="1:12" ht="24" customHeight="1" x14ac:dyDescent="0.3">
      <c r="A200" s="56">
        <f>DATE(2009,12,1)</f>
        <v>40148</v>
      </c>
      <c r="B200" s="57">
        <v>79778834</v>
      </c>
      <c r="C200" s="57">
        <v>17243960</v>
      </c>
      <c r="D200" s="57"/>
      <c r="E200" s="57"/>
      <c r="F200" s="57"/>
      <c r="G200" s="57"/>
      <c r="H200" s="57"/>
      <c r="I200" s="57"/>
      <c r="J200" s="57">
        <v>169414</v>
      </c>
      <c r="K200" s="57">
        <v>10494</v>
      </c>
      <c r="L200" s="57" t="s">
        <v>137</v>
      </c>
    </row>
    <row r="201" spans="1:12" ht="24" customHeight="1" thickBot="1" x14ac:dyDescent="0.35">
      <c r="A201" s="43"/>
      <c r="B201" s="58"/>
      <c r="C201" s="58"/>
      <c r="D201" s="58"/>
      <c r="E201" s="58"/>
      <c r="F201" s="58"/>
      <c r="G201" s="58"/>
      <c r="H201" s="58"/>
      <c r="I201" s="58"/>
      <c r="J201" s="58"/>
      <c r="K201" s="58"/>
      <c r="L201" s="58"/>
    </row>
    <row r="202" spans="1:12" ht="15" thickBot="1" x14ac:dyDescent="0.35">
      <c r="A202" s="61" t="s">
        <v>155</v>
      </c>
      <c r="B202" s="62">
        <f>SUM(B189:B200)</f>
        <v>983823234</v>
      </c>
      <c r="C202" s="63">
        <f>SUM(C189:C200)</f>
        <v>222108303</v>
      </c>
      <c r="D202" s="63"/>
      <c r="E202" s="63"/>
      <c r="F202" s="63"/>
      <c r="G202" s="63"/>
      <c r="H202" s="63"/>
      <c r="I202" s="63"/>
      <c r="J202" s="64">
        <f>SUM(J189:J200)</f>
        <v>1265822</v>
      </c>
      <c r="K202" s="64">
        <f>SUM(K189:K201)</f>
        <v>886612</v>
      </c>
      <c r="L202" s="64">
        <f>SUM(L189:L200)</f>
        <v>0</v>
      </c>
    </row>
    <row r="203" spans="1:12" ht="14.4" x14ac:dyDescent="0.3">
      <c r="A203" s="65"/>
      <c r="B203" s="66"/>
      <c r="C203" s="66"/>
      <c r="D203" s="66"/>
      <c r="E203" s="66"/>
      <c r="F203" s="66"/>
      <c r="G203" s="66"/>
      <c r="H203" s="66"/>
      <c r="I203" s="66"/>
      <c r="J203" s="66"/>
      <c r="K203" s="66"/>
      <c r="L203" s="66"/>
    </row>
    <row r="204" spans="1:12" ht="14.4" x14ac:dyDescent="0.3">
      <c r="A204" s="65"/>
      <c r="B204" s="66"/>
      <c r="C204" s="66"/>
      <c r="D204" s="66"/>
      <c r="E204" s="66"/>
      <c r="F204" s="66"/>
      <c r="G204" s="66"/>
      <c r="H204" s="66"/>
      <c r="I204" s="66"/>
      <c r="J204" s="66"/>
      <c r="K204" s="66"/>
      <c r="L204" s="66"/>
    </row>
    <row r="205" spans="1:12" ht="14.4" x14ac:dyDescent="0.3">
      <c r="A205" s="65"/>
      <c r="B205" s="66"/>
      <c r="C205" s="66"/>
      <c r="D205" s="66"/>
      <c r="E205" s="66"/>
      <c r="F205" s="66"/>
      <c r="G205" s="66"/>
      <c r="H205" s="66"/>
      <c r="I205" s="66"/>
      <c r="J205" s="66"/>
      <c r="K205" s="66"/>
      <c r="L205" s="66"/>
    </row>
    <row r="206" spans="1:12" ht="24" customHeight="1" x14ac:dyDescent="0.3">
      <c r="A206" s="56">
        <f>DATE(2010,1,1)</f>
        <v>40179</v>
      </c>
      <c r="B206" s="57">
        <v>75762194</v>
      </c>
      <c r="C206" s="57">
        <v>15952590</v>
      </c>
      <c r="D206" s="57"/>
      <c r="E206" s="57"/>
      <c r="F206" s="57"/>
      <c r="G206" s="57"/>
      <c r="H206" s="57"/>
      <c r="I206" s="57"/>
      <c r="J206" s="57">
        <v>0</v>
      </c>
      <c r="K206" s="57">
        <v>0</v>
      </c>
      <c r="L206" s="57" t="s">
        <v>137</v>
      </c>
    </row>
    <row r="207" spans="1:12" ht="24" customHeight="1" x14ac:dyDescent="0.3">
      <c r="A207" s="56">
        <f>DATE(2010,2,1)</f>
        <v>40210</v>
      </c>
      <c r="B207" s="57">
        <v>73136157</v>
      </c>
      <c r="C207" s="57">
        <v>14558196</v>
      </c>
      <c r="D207" s="57"/>
      <c r="E207" s="57"/>
      <c r="F207" s="57"/>
      <c r="G207" s="57"/>
      <c r="H207" s="57"/>
      <c r="I207" s="57"/>
      <c r="J207" s="57">
        <v>316231</v>
      </c>
      <c r="K207" s="57">
        <v>46739</v>
      </c>
      <c r="L207" s="57" t="s">
        <v>137</v>
      </c>
    </row>
    <row r="208" spans="1:12" ht="24" customHeight="1" x14ac:dyDescent="0.3">
      <c r="A208" s="56">
        <f>DATE(2010,3,1)</f>
        <v>40238</v>
      </c>
      <c r="B208" s="57">
        <v>89655908</v>
      </c>
      <c r="C208" s="57">
        <v>19823962</v>
      </c>
      <c r="D208" s="57"/>
      <c r="E208" s="57"/>
      <c r="F208" s="57"/>
      <c r="G208" s="57"/>
      <c r="H208" s="57"/>
      <c r="I208" s="57"/>
      <c r="J208" s="57">
        <v>1795</v>
      </c>
      <c r="K208" s="57">
        <v>0</v>
      </c>
      <c r="L208" s="57" t="s">
        <v>137</v>
      </c>
    </row>
    <row r="209" spans="1:17" ht="24" customHeight="1" x14ac:dyDescent="0.35">
      <c r="A209" s="56">
        <f>DATE(2010,4,1)</f>
        <v>40269</v>
      </c>
      <c r="B209" s="57">
        <v>86852812</v>
      </c>
      <c r="C209" s="57">
        <v>19516839</v>
      </c>
      <c r="D209" s="57"/>
      <c r="E209" s="57"/>
      <c r="F209" s="57"/>
      <c r="G209" s="57"/>
      <c r="H209" s="57"/>
      <c r="I209" s="57"/>
      <c r="J209" s="57">
        <v>218192</v>
      </c>
      <c r="K209" s="57">
        <v>2203</v>
      </c>
      <c r="L209" s="57" t="s">
        <v>137</v>
      </c>
      <c r="Q209" s="25"/>
    </row>
    <row r="210" spans="1:17" ht="24" customHeight="1" x14ac:dyDescent="0.3">
      <c r="A210" s="56">
        <f>DATE(2010,5,1)</f>
        <v>40299</v>
      </c>
      <c r="B210" s="57">
        <v>85831722</v>
      </c>
      <c r="C210" s="57">
        <v>19490565</v>
      </c>
      <c r="D210" s="57"/>
      <c r="E210" s="57"/>
      <c r="F210" s="57"/>
      <c r="G210" s="57"/>
      <c r="H210" s="57"/>
      <c r="I210" s="57"/>
      <c r="J210" s="57">
        <v>246411</v>
      </c>
      <c r="K210" s="57">
        <v>0</v>
      </c>
      <c r="L210" s="57" t="s">
        <v>137</v>
      </c>
    </row>
    <row r="211" spans="1:17" ht="24" customHeight="1" x14ac:dyDescent="0.3">
      <c r="A211" s="56">
        <f>DATE(2010,6,1)</f>
        <v>40330</v>
      </c>
      <c r="B211" s="57">
        <v>90749630</v>
      </c>
      <c r="C211" s="57">
        <v>21546451</v>
      </c>
      <c r="D211" s="57"/>
      <c r="E211" s="57"/>
      <c r="F211" s="57"/>
      <c r="G211" s="57"/>
      <c r="H211" s="57"/>
      <c r="I211" s="57"/>
      <c r="J211" s="57">
        <v>820</v>
      </c>
      <c r="K211" s="57">
        <v>0</v>
      </c>
      <c r="L211" s="57" t="s">
        <v>137</v>
      </c>
    </row>
    <row r="212" spans="1:17" ht="24" customHeight="1" x14ac:dyDescent="0.3">
      <c r="A212" s="56">
        <f>DATE(2010,7,1)</f>
        <v>40360</v>
      </c>
      <c r="B212" s="57">
        <v>82255210</v>
      </c>
      <c r="C212" s="57">
        <v>17275412</v>
      </c>
      <c r="D212" s="57"/>
      <c r="E212" s="57"/>
      <c r="F212" s="57"/>
      <c r="G212" s="57"/>
      <c r="H212" s="57"/>
      <c r="I212" s="57"/>
      <c r="J212" s="57">
        <v>1912</v>
      </c>
      <c r="K212" s="57">
        <v>25305</v>
      </c>
      <c r="L212" s="57" t="s">
        <v>137</v>
      </c>
    </row>
    <row r="213" spans="1:17" ht="24" customHeight="1" x14ac:dyDescent="0.3">
      <c r="A213" s="56">
        <f>DATE(2010,8,1)</f>
        <v>40391</v>
      </c>
      <c r="B213" s="57">
        <v>90766623</v>
      </c>
      <c r="C213" s="57">
        <v>20858874</v>
      </c>
      <c r="D213" s="57"/>
      <c r="E213" s="57"/>
      <c r="F213" s="57"/>
      <c r="G213" s="57"/>
      <c r="H213" s="57"/>
      <c r="I213" s="57"/>
      <c r="J213" s="57">
        <v>128998</v>
      </c>
      <c r="K213" s="57">
        <v>32277</v>
      </c>
      <c r="L213" s="57" t="s">
        <v>137</v>
      </c>
    </row>
    <row r="214" spans="1:17" ht="24" customHeight="1" x14ac:dyDescent="0.3">
      <c r="A214" s="56">
        <f>DATE(2010,9,1)</f>
        <v>40422</v>
      </c>
      <c r="B214" s="57">
        <v>89037983</v>
      </c>
      <c r="C214" s="57">
        <v>20700774</v>
      </c>
      <c r="D214" s="57"/>
      <c r="E214" s="57"/>
      <c r="F214" s="57"/>
      <c r="G214" s="57"/>
      <c r="H214" s="57"/>
      <c r="I214" s="57"/>
      <c r="J214" s="57">
        <v>0</v>
      </c>
      <c r="K214" s="57">
        <v>0</v>
      </c>
      <c r="L214" s="57" t="s">
        <v>137</v>
      </c>
    </row>
    <row r="215" spans="1:17" ht="24" customHeight="1" x14ac:dyDescent="0.3">
      <c r="A215" s="56">
        <f>DATE(2010,10,1)</f>
        <v>40452</v>
      </c>
      <c r="B215" s="57">
        <v>88576654</v>
      </c>
      <c r="C215" s="57">
        <v>20346127</v>
      </c>
      <c r="D215" s="57"/>
      <c r="E215" s="57"/>
      <c r="F215" s="57"/>
      <c r="G215" s="57"/>
      <c r="H215" s="57"/>
      <c r="I215" s="57"/>
      <c r="J215" s="57">
        <v>0</v>
      </c>
      <c r="K215" s="57">
        <v>53823</v>
      </c>
      <c r="L215" s="57" t="s">
        <v>137</v>
      </c>
    </row>
    <row r="216" spans="1:17" ht="24" customHeight="1" x14ac:dyDescent="0.3">
      <c r="A216" s="56">
        <f>DATE(2010,11,1)</f>
        <v>40483</v>
      </c>
      <c r="B216" s="57">
        <v>80956848</v>
      </c>
      <c r="C216" s="57">
        <v>17751731</v>
      </c>
      <c r="D216" s="57"/>
      <c r="E216" s="57"/>
      <c r="F216" s="57"/>
      <c r="G216" s="57"/>
      <c r="H216" s="57"/>
      <c r="I216" s="57"/>
      <c r="J216" s="57">
        <v>147849</v>
      </c>
      <c r="K216" s="57">
        <v>78813</v>
      </c>
      <c r="L216" s="57" t="s">
        <v>137</v>
      </c>
    </row>
    <row r="217" spans="1:17" ht="24" customHeight="1" x14ac:dyDescent="0.3">
      <c r="A217" s="56">
        <f>DATE(2010,12,1)</f>
        <v>40513</v>
      </c>
      <c r="B217" s="57">
        <v>80758987</v>
      </c>
      <c r="C217" s="57">
        <v>18056611</v>
      </c>
      <c r="D217" s="57"/>
      <c r="E217" s="57"/>
      <c r="F217" s="57"/>
      <c r="G217" s="57"/>
      <c r="H217" s="57"/>
      <c r="I217" s="57"/>
      <c r="J217" s="57">
        <v>0</v>
      </c>
      <c r="K217" s="57">
        <v>0</v>
      </c>
      <c r="L217" s="57" t="s">
        <v>137</v>
      </c>
    </row>
    <row r="218" spans="1:17" ht="24" customHeight="1" thickBot="1" x14ac:dyDescent="0.35">
      <c r="A218" s="43"/>
      <c r="B218" s="58"/>
      <c r="C218" s="58"/>
      <c r="D218" s="58"/>
      <c r="E218" s="58"/>
      <c r="F218" s="58"/>
      <c r="G218" s="58"/>
      <c r="H218" s="58"/>
      <c r="I218" s="58"/>
      <c r="J218" s="58"/>
      <c r="K218" s="58"/>
      <c r="L218" s="58"/>
    </row>
    <row r="219" spans="1:17" ht="24" customHeight="1" thickBot="1" x14ac:dyDescent="0.35">
      <c r="A219" s="59" t="s">
        <v>155</v>
      </c>
      <c r="B219" s="60">
        <f>SUM(B206:B217)</f>
        <v>1014340728</v>
      </c>
      <c r="C219" s="60">
        <f>SUM(C206:C217)</f>
        <v>225878132</v>
      </c>
      <c r="D219" s="60"/>
      <c r="E219" s="60"/>
      <c r="F219" s="60"/>
      <c r="G219" s="60"/>
      <c r="H219" s="60"/>
      <c r="I219" s="60"/>
      <c r="J219" s="60">
        <f>SUM(J206:J217)</f>
        <v>1062208</v>
      </c>
      <c r="K219" s="60">
        <f>SUM(K206:K218)</f>
        <v>239160</v>
      </c>
      <c r="L219" s="60">
        <f>SUM(L206:L217)</f>
        <v>0</v>
      </c>
    </row>
    <row r="220" spans="1:17" ht="14.4" x14ac:dyDescent="0.3">
      <c r="A220" s="35"/>
      <c r="B220" s="35"/>
      <c r="C220" s="35"/>
      <c r="D220" s="35"/>
      <c r="E220" s="35"/>
      <c r="F220" s="35"/>
      <c r="G220" s="35"/>
      <c r="H220" s="35"/>
      <c r="I220" s="35"/>
      <c r="J220" s="35"/>
      <c r="K220" s="35"/>
      <c r="L220" s="35"/>
    </row>
    <row r="221" spans="1:17" ht="14.4" x14ac:dyDescent="0.3">
      <c r="A221" s="35"/>
      <c r="B221" s="35"/>
      <c r="C221" s="35"/>
      <c r="D221" s="35"/>
      <c r="E221" s="35"/>
      <c r="F221" s="35"/>
      <c r="G221" s="35"/>
      <c r="H221" s="35"/>
      <c r="I221" s="35"/>
      <c r="J221" s="35"/>
      <c r="K221" s="35"/>
      <c r="L221" s="35"/>
    </row>
    <row r="222" spans="1:17" ht="24" customHeight="1" x14ac:dyDescent="0.3">
      <c r="A222" s="56">
        <f>DATE(2011,1,1)</f>
        <v>40544</v>
      </c>
      <c r="B222" s="57">
        <v>80488257</v>
      </c>
      <c r="C222" s="57">
        <v>18590628</v>
      </c>
      <c r="D222" s="57"/>
      <c r="E222" s="57"/>
      <c r="F222" s="57"/>
      <c r="G222" s="57"/>
      <c r="H222" s="57"/>
      <c r="I222" s="57"/>
      <c r="J222" s="57"/>
      <c r="K222" s="57">
        <v>31349</v>
      </c>
      <c r="L222" s="57" t="s">
        <v>137</v>
      </c>
    </row>
    <row r="223" spans="1:17" ht="24" customHeight="1" x14ac:dyDescent="0.3">
      <c r="A223" s="56">
        <f>DATE(2011,2,1)</f>
        <v>40575</v>
      </c>
      <c r="B223" s="57">
        <v>77252091</v>
      </c>
      <c r="C223" s="57">
        <v>18343495</v>
      </c>
      <c r="D223" s="57"/>
      <c r="E223" s="57"/>
      <c r="F223" s="57"/>
      <c r="G223" s="57"/>
      <c r="H223" s="57"/>
      <c r="I223" s="57"/>
      <c r="J223" s="57">
        <v>280580</v>
      </c>
      <c r="K223" s="57">
        <v>8386</v>
      </c>
      <c r="L223" s="57" t="s">
        <v>137</v>
      </c>
    </row>
    <row r="224" spans="1:17" ht="24" customHeight="1" x14ac:dyDescent="0.3">
      <c r="A224" s="56">
        <f>DATE(2011,3,1)</f>
        <v>40603</v>
      </c>
      <c r="B224" s="57">
        <v>89309163</v>
      </c>
      <c r="C224" s="57">
        <v>21173243</v>
      </c>
      <c r="D224" s="57"/>
      <c r="E224" s="57"/>
      <c r="F224" s="57"/>
      <c r="G224" s="57"/>
      <c r="H224" s="57"/>
      <c r="I224" s="57"/>
      <c r="J224" s="57">
        <v>0</v>
      </c>
      <c r="K224" s="57">
        <v>0</v>
      </c>
      <c r="L224" s="57" t="s">
        <v>137</v>
      </c>
    </row>
    <row r="225" spans="1:12" ht="24" customHeight="1" x14ac:dyDescent="0.3">
      <c r="A225" s="56">
        <f>DATE(2011,4,1)</f>
        <v>40634</v>
      </c>
      <c r="B225" s="57">
        <v>79440635</v>
      </c>
      <c r="C225" s="57">
        <v>17966409</v>
      </c>
      <c r="D225" s="57"/>
      <c r="E225" s="57"/>
      <c r="F225" s="57"/>
      <c r="G225" s="57"/>
      <c r="H225" s="57"/>
      <c r="I225" s="57"/>
      <c r="J225" s="57">
        <v>0</v>
      </c>
      <c r="K225" s="57">
        <v>6609</v>
      </c>
      <c r="L225" s="57" t="s">
        <v>137</v>
      </c>
    </row>
    <row r="226" spans="1:12" ht="24" customHeight="1" x14ac:dyDescent="0.3">
      <c r="A226" s="56">
        <f>DATE(2011,5,1)</f>
        <v>40664</v>
      </c>
      <c r="B226" s="57">
        <v>85066721</v>
      </c>
      <c r="C226" s="57">
        <v>20014011</v>
      </c>
      <c r="D226" s="57"/>
      <c r="E226" s="57"/>
      <c r="F226" s="57"/>
      <c r="G226" s="57"/>
      <c r="H226" s="57"/>
      <c r="I226" s="57"/>
      <c r="J226" s="57">
        <v>102769</v>
      </c>
      <c r="K226" s="57">
        <v>0</v>
      </c>
      <c r="L226" s="57" t="s">
        <v>137</v>
      </c>
    </row>
    <row r="227" spans="1:12" ht="24" customHeight="1" x14ac:dyDescent="0.3">
      <c r="A227" s="56">
        <f>DATE(2011,6,1)</f>
        <v>40695</v>
      </c>
      <c r="B227" s="57">
        <v>91108510</v>
      </c>
      <c r="C227" s="57">
        <v>23688158</v>
      </c>
      <c r="D227" s="57"/>
      <c r="E227" s="57"/>
      <c r="F227" s="57"/>
      <c r="G227" s="57"/>
      <c r="H227" s="57"/>
      <c r="I227" s="57"/>
      <c r="J227" s="57">
        <v>0</v>
      </c>
      <c r="K227" s="57">
        <v>3037</v>
      </c>
      <c r="L227" s="57" t="s">
        <v>137</v>
      </c>
    </row>
    <row r="228" spans="1:12" ht="24" customHeight="1" x14ac:dyDescent="0.3">
      <c r="A228" s="56">
        <f>DATE(2011,7,1)</f>
        <v>40725</v>
      </c>
      <c r="B228" s="57">
        <v>78644789</v>
      </c>
      <c r="C228" s="57">
        <v>18308919</v>
      </c>
      <c r="D228" s="57"/>
      <c r="E228" s="57"/>
      <c r="F228" s="57"/>
      <c r="G228" s="57"/>
      <c r="H228" s="57"/>
      <c r="I228" s="57"/>
      <c r="J228" s="57">
        <v>0</v>
      </c>
      <c r="K228" s="57">
        <v>25481</v>
      </c>
      <c r="L228" s="57" t="s">
        <v>137</v>
      </c>
    </row>
    <row r="229" spans="1:12" ht="24" customHeight="1" x14ac:dyDescent="0.3">
      <c r="A229" s="56">
        <f>DATE(2011,8,1)</f>
        <v>40756</v>
      </c>
      <c r="B229" s="57">
        <v>91681436</v>
      </c>
      <c r="C229" s="57">
        <v>22545781</v>
      </c>
      <c r="D229" s="57"/>
      <c r="E229" s="57"/>
      <c r="F229" s="57"/>
      <c r="G229" s="57"/>
      <c r="H229" s="57"/>
      <c r="I229" s="57"/>
      <c r="J229" s="57">
        <v>109964</v>
      </c>
      <c r="K229" s="57">
        <v>23000</v>
      </c>
      <c r="L229" s="57" t="s">
        <v>137</v>
      </c>
    </row>
    <row r="230" spans="1:12" ht="24" customHeight="1" x14ac:dyDescent="0.3">
      <c r="A230" s="56">
        <f>DATE(2011,9,1)</f>
        <v>40787</v>
      </c>
      <c r="B230" s="57">
        <v>85538631</v>
      </c>
      <c r="C230" s="57">
        <v>20845144</v>
      </c>
      <c r="D230" s="57"/>
      <c r="E230" s="57"/>
      <c r="F230" s="57"/>
      <c r="G230" s="57"/>
      <c r="H230" s="57"/>
      <c r="I230" s="57"/>
      <c r="J230" s="57">
        <v>120668</v>
      </c>
      <c r="K230" s="57">
        <v>0</v>
      </c>
      <c r="L230" s="57" t="s">
        <v>137</v>
      </c>
    </row>
    <row r="231" spans="1:12" ht="24" customHeight="1" x14ac:dyDescent="0.3">
      <c r="A231" s="56">
        <f>DATE(2011,10,1)</f>
        <v>40817</v>
      </c>
      <c r="B231" s="57">
        <v>88948905</v>
      </c>
      <c r="C231" s="57">
        <v>22432231</v>
      </c>
      <c r="D231" s="57"/>
      <c r="E231" s="57"/>
      <c r="F231" s="57"/>
      <c r="G231" s="57"/>
      <c r="H231" s="57"/>
      <c r="I231" s="57"/>
      <c r="J231" s="57">
        <v>41758</v>
      </c>
      <c r="K231" s="57">
        <v>38058</v>
      </c>
      <c r="L231" s="57" t="s">
        <v>137</v>
      </c>
    </row>
    <row r="232" spans="1:12" ht="24" customHeight="1" x14ac:dyDescent="0.3">
      <c r="A232" s="56">
        <f>DATE(2011,11,1)</f>
        <v>40848</v>
      </c>
      <c r="B232" s="57">
        <v>80687793</v>
      </c>
      <c r="C232" s="57">
        <v>18581034</v>
      </c>
      <c r="D232" s="57"/>
      <c r="E232" s="57"/>
      <c r="F232" s="57"/>
      <c r="G232" s="57"/>
      <c r="H232" s="57"/>
      <c r="I232" s="57"/>
      <c r="J232" s="57">
        <v>242</v>
      </c>
      <c r="K232" s="57">
        <v>62850</v>
      </c>
      <c r="L232" s="57" t="s">
        <v>137</v>
      </c>
    </row>
    <row r="233" spans="1:12" ht="24" customHeight="1" x14ac:dyDescent="0.3">
      <c r="A233" s="56">
        <f>DATE(2011,12,1)</f>
        <v>40878</v>
      </c>
      <c r="B233" s="57">
        <v>76755735</v>
      </c>
      <c r="C233" s="57">
        <v>17931393</v>
      </c>
      <c r="D233" s="57"/>
      <c r="E233" s="57"/>
      <c r="F233" s="57"/>
      <c r="G233" s="57"/>
      <c r="H233" s="57"/>
      <c r="I233" s="57"/>
      <c r="J233" s="57">
        <v>104442</v>
      </c>
      <c r="K233" s="57">
        <v>14427</v>
      </c>
      <c r="L233" s="57" t="s">
        <v>137</v>
      </c>
    </row>
    <row r="234" spans="1:12" ht="24" customHeight="1" thickBot="1" x14ac:dyDescent="0.35">
      <c r="A234" s="67"/>
      <c r="B234" s="58"/>
      <c r="C234" s="58"/>
      <c r="D234" s="58"/>
      <c r="E234" s="58"/>
      <c r="F234" s="58"/>
      <c r="G234" s="58"/>
      <c r="H234" s="58"/>
      <c r="I234" s="58"/>
      <c r="J234" s="58"/>
      <c r="K234" s="58"/>
      <c r="L234" s="58"/>
    </row>
    <row r="235" spans="1:12" ht="24" customHeight="1" thickBot="1" x14ac:dyDescent="0.35">
      <c r="A235" s="98" t="s">
        <v>155</v>
      </c>
      <c r="B235" s="68">
        <f>SUM(B222:B233)</f>
        <v>1004922666</v>
      </c>
      <c r="C235" s="68">
        <f>SUM(C222:C233)</f>
        <v>240420446</v>
      </c>
      <c r="D235" s="68"/>
      <c r="E235" s="68"/>
      <c r="F235" s="68"/>
      <c r="G235" s="68"/>
      <c r="H235" s="68"/>
      <c r="I235" s="68"/>
      <c r="J235" s="68">
        <f>SUM(J222:J233)</f>
        <v>760423</v>
      </c>
      <c r="K235" s="68">
        <f>SUM(K222:K234)</f>
        <v>213197</v>
      </c>
      <c r="L235" s="69">
        <f>SUM(L222:L233)</f>
        <v>0</v>
      </c>
    </row>
    <row r="236" spans="1:12" ht="14.4" x14ac:dyDescent="0.3">
      <c r="A236" s="35"/>
      <c r="B236" s="35"/>
      <c r="C236" s="35"/>
      <c r="D236" s="35"/>
      <c r="E236" s="35"/>
      <c r="F236" s="35"/>
      <c r="G236" s="35"/>
      <c r="H236" s="35"/>
      <c r="I236" s="35"/>
      <c r="J236" s="35"/>
      <c r="K236" s="35"/>
      <c r="L236" s="35"/>
    </row>
    <row r="237" spans="1:12" ht="14.4" x14ac:dyDescent="0.3">
      <c r="A237" s="35"/>
      <c r="B237" s="35"/>
      <c r="C237" s="35"/>
      <c r="D237" s="35"/>
      <c r="E237" s="35"/>
      <c r="F237" s="35"/>
      <c r="G237" s="35"/>
      <c r="H237" s="35"/>
      <c r="I237" s="35"/>
      <c r="J237" s="35"/>
      <c r="K237" s="35"/>
      <c r="L237" s="35"/>
    </row>
    <row r="238" spans="1:12" ht="24" customHeight="1" x14ac:dyDescent="0.3">
      <c r="A238" s="56">
        <f>DATE(2012,1,1)</f>
        <v>40909</v>
      </c>
      <c r="B238" s="57">
        <v>78997760</v>
      </c>
      <c r="C238" s="57">
        <v>18043908</v>
      </c>
      <c r="D238" s="57"/>
      <c r="E238" s="57"/>
      <c r="F238" s="57"/>
      <c r="G238" s="57"/>
      <c r="H238" s="57"/>
      <c r="I238" s="57"/>
      <c r="J238" s="57">
        <v>204830</v>
      </c>
      <c r="K238" s="57">
        <v>37142</v>
      </c>
      <c r="L238" s="57" t="s">
        <v>137</v>
      </c>
    </row>
    <row r="239" spans="1:12" ht="24" customHeight="1" x14ac:dyDescent="0.3">
      <c r="A239" s="56">
        <f>DATE(2012,2,1)</f>
        <v>40940</v>
      </c>
      <c r="B239" s="57">
        <v>76490708</v>
      </c>
      <c r="C239" s="57">
        <v>17652745</v>
      </c>
      <c r="D239" s="57"/>
      <c r="E239" s="57"/>
      <c r="F239" s="57"/>
      <c r="G239" s="57"/>
      <c r="H239" s="57"/>
      <c r="I239" s="57"/>
      <c r="J239" s="57">
        <v>114504</v>
      </c>
      <c r="K239" s="57">
        <v>9893</v>
      </c>
      <c r="L239" s="57" t="s">
        <v>137</v>
      </c>
    </row>
    <row r="240" spans="1:12" ht="24" customHeight="1" x14ac:dyDescent="0.3">
      <c r="A240" s="56">
        <f>DATE(2012,3,1)</f>
        <v>40969</v>
      </c>
      <c r="B240" s="57">
        <v>81268106</v>
      </c>
      <c r="C240" s="57">
        <v>17005689</v>
      </c>
      <c r="D240" s="57"/>
      <c r="E240" s="57"/>
      <c r="F240" s="57"/>
      <c r="G240" s="57"/>
      <c r="H240" s="57"/>
      <c r="I240" s="57"/>
      <c r="J240" s="57">
        <v>0</v>
      </c>
      <c r="K240" s="57">
        <v>0</v>
      </c>
      <c r="L240" s="57" t="s">
        <v>137</v>
      </c>
    </row>
    <row r="241" spans="1:12" ht="24" customHeight="1" x14ac:dyDescent="0.3">
      <c r="A241" s="56">
        <f>DATE(2012,4,1)</f>
        <v>41000</v>
      </c>
      <c r="B241" s="57">
        <v>77336149</v>
      </c>
      <c r="C241" s="57">
        <v>16931609</v>
      </c>
      <c r="D241" s="57"/>
      <c r="E241" s="57"/>
      <c r="F241" s="57"/>
      <c r="G241" s="57"/>
      <c r="H241" s="57"/>
      <c r="I241" s="57"/>
      <c r="J241" s="57">
        <v>0</v>
      </c>
      <c r="K241" s="57">
        <v>500</v>
      </c>
      <c r="L241" s="57" t="s">
        <v>137</v>
      </c>
    </row>
    <row r="242" spans="1:12" ht="24" customHeight="1" x14ac:dyDescent="0.3">
      <c r="A242" s="56">
        <f>DATE(2012,5,1)</f>
        <v>41030</v>
      </c>
      <c r="B242" s="57">
        <v>83279793</v>
      </c>
      <c r="C242" s="57">
        <v>17943321</v>
      </c>
      <c r="D242" s="57"/>
      <c r="E242" s="57"/>
      <c r="F242" s="57"/>
      <c r="G242" s="57"/>
      <c r="H242" s="57"/>
      <c r="I242" s="57"/>
      <c r="J242" s="57">
        <v>246559</v>
      </c>
      <c r="K242" s="57">
        <v>9142</v>
      </c>
      <c r="L242" s="57" t="s">
        <v>137</v>
      </c>
    </row>
    <row r="243" spans="1:12" ht="24" customHeight="1" x14ac:dyDescent="0.3">
      <c r="A243" s="56">
        <f>DATE(2012,6,1)</f>
        <v>41061</v>
      </c>
      <c r="B243" s="57">
        <v>80264687</v>
      </c>
      <c r="C243" s="57">
        <v>16669637</v>
      </c>
      <c r="D243" s="57"/>
      <c r="E243" s="57"/>
      <c r="F243" s="57"/>
      <c r="G243" s="57"/>
      <c r="H243" s="57"/>
      <c r="I243" s="57"/>
      <c r="J243" s="57">
        <v>0</v>
      </c>
      <c r="K243" s="57">
        <v>2178</v>
      </c>
      <c r="L243" s="57" t="s">
        <v>137</v>
      </c>
    </row>
    <row r="244" spans="1:12" ht="24" customHeight="1" x14ac:dyDescent="0.3">
      <c r="A244" s="56">
        <f>DATE(2012,7,1)</f>
        <v>41091</v>
      </c>
      <c r="B244" s="57">
        <v>73638554</v>
      </c>
      <c r="C244" s="57">
        <v>14195461</v>
      </c>
      <c r="D244" s="57">
        <v>2009045</v>
      </c>
      <c r="E244" s="57">
        <v>53607</v>
      </c>
      <c r="F244" s="57">
        <v>194685</v>
      </c>
      <c r="G244" s="57">
        <v>28811</v>
      </c>
      <c r="H244" s="57">
        <v>11909313</v>
      </c>
      <c r="I244" s="57">
        <v>246373</v>
      </c>
      <c r="J244" s="57">
        <v>0</v>
      </c>
      <c r="K244" s="57">
        <v>38661</v>
      </c>
      <c r="L244" s="57" t="s">
        <v>137</v>
      </c>
    </row>
    <row r="245" spans="1:12" ht="24" customHeight="1" x14ac:dyDescent="0.3">
      <c r="A245" s="56">
        <f>DATE(2012,8,1)</f>
        <v>41122</v>
      </c>
      <c r="B245" s="57">
        <v>83299593</v>
      </c>
      <c r="C245" s="57">
        <v>16903379</v>
      </c>
      <c r="D245" s="57">
        <v>3165933</v>
      </c>
      <c r="E245" s="57">
        <v>63622</v>
      </c>
      <c r="F245" s="57">
        <v>173471</v>
      </c>
      <c r="G245" s="57">
        <v>20469</v>
      </c>
      <c r="H245" s="57">
        <v>13479884</v>
      </c>
      <c r="I245" s="57">
        <v>222797</v>
      </c>
      <c r="J245" s="57">
        <v>1018336</v>
      </c>
      <c r="K245" s="57">
        <v>22500</v>
      </c>
      <c r="L245" s="57" t="s">
        <v>137</v>
      </c>
    </row>
    <row r="246" spans="1:12" ht="24" customHeight="1" x14ac:dyDescent="0.3">
      <c r="A246" s="56">
        <f>DATE(2012,9,1)</f>
        <v>41153</v>
      </c>
      <c r="B246" s="57">
        <v>72880435</v>
      </c>
      <c r="C246" s="57">
        <v>14628141</v>
      </c>
      <c r="D246" s="57">
        <v>2766756</v>
      </c>
      <c r="E246" s="57">
        <v>121555</v>
      </c>
      <c r="F246" s="57">
        <v>118973</v>
      </c>
      <c r="G246" s="57">
        <v>33239</v>
      </c>
      <c r="H246" s="57">
        <v>11587618</v>
      </c>
      <c r="I246" s="57">
        <v>213686</v>
      </c>
      <c r="J246" s="57">
        <v>0</v>
      </c>
      <c r="K246" s="57">
        <v>1857</v>
      </c>
      <c r="L246" s="57" t="s">
        <v>137</v>
      </c>
    </row>
    <row r="247" spans="1:12" ht="24" customHeight="1" x14ac:dyDescent="0.3">
      <c r="A247" s="56">
        <f>DATE(2012,10,1)</f>
        <v>41183</v>
      </c>
      <c r="B247" s="57">
        <v>82968184</v>
      </c>
      <c r="C247" s="57">
        <v>17722329</v>
      </c>
      <c r="D247" s="57">
        <v>3900063</v>
      </c>
      <c r="E247" s="57">
        <v>414944</v>
      </c>
      <c r="F247" s="57">
        <v>147729</v>
      </c>
      <c r="G247" s="57">
        <v>41484</v>
      </c>
      <c r="H247" s="57">
        <v>13218109</v>
      </c>
      <c r="I247" s="57">
        <v>215884</v>
      </c>
      <c r="J247" s="57">
        <v>3765810</v>
      </c>
      <c r="K247" s="57">
        <v>103590</v>
      </c>
      <c r="L247" s="57" t="s">
        <v>137</v>
      </c>
    </row>
    <row r="248" spans="1:12" ht="24" customHeight="1" x14ac:dyDescent="0.3">
      <c r="A248" s="56">
        <f>DATE(2012,11,1)</f>
        <v>41214</v>
      </c>
      <c r="B248" s="57">
        <v>72773806</v>
      </c>
      <c r="C248" s="57">
        <v>13424656</v>
      </c>
      <c r="D248" s="57">
        <v>2202100</v>
      </c>
      <c r="E248" s="57">
        <v>411838</v>
      </c>
      <c r="F248" s="57">
        <v>147729</v>
      </c>
      <c r="G248" s="57">
        <v>41484</v>
      </c>
      <c r="H248" s="57">
        <v>13218109</v>
      </c>
      <c r="I248" s="57">
        <v>215884</v>
      </c>
      <c r="J248" s="57">
        <v>0</v>
      </c>
      <c r="K248" s="57">
        <v>1001</v>
      </c>
      <c r="L248" s="57" t="s">
        <v>137</v>
      </c>
    </row>
    <row r="249" spans="1:12" ht="24" customHeight="1" x14ac:dyDescent="0.3">
      <c r="A249" s="56">
        <f>DATE(2012,12,1)</f>
        <v>41244</v>
      </c>
      <c r="B249" s="57">
        <v>65066864</v>
      </c>
      <c r="C249" s="57">
        <v>11726260</v>
      </c>
      <c r="D249" s="57">
        <v>1456639</v>
      </c>
      <c r="E249" s="57">
        <v>446084</v>
      </c>
      <c r="F249" s="57">
        <v>111776</v>
      </c>
      <c r="G249" s="57">
        <v>53803</v>
      </c>
      <c r="H249" s="57">
        <v>9657958</v>
      </c>
      <c r="I249" s="57">
        <v>185262</v>
      </c>
      <c r="J249" s="57">
        <v>0</v>
      </c>
      <c r="K249" s="57">
        <v>3239</v>
      </c>
      <c r="L249" s="57" t="s">
        <v>137</v>
      </c>
    </row>
    <row r="250" spans="1:12" ht="24" customHeight="1" thickBot="1" x14ac:dyDescent="0.35">
      <c r="A250" s="67"/>
      <c r="B250" s="58"/>
      <c r="C250" s="58"/>
      <c r="D250" s="58"/>
      <c r="E250" s="58"/>
      <c r="F250" s="58"/>
      <c r="G250" s="58"/>
      <c r="H250" s="58"/>
      <c r="I250" s="58"/>
      <c r="J250" s="58"/>
      <c r="K250" s="58"/>
      <c r="L250" s="58"/>
    </row>
    <row r="251" spans="1:12" ht="24" customHeight="1" thickBot="1" x14ac:dyDescent="0.35">
      <c r="A251" s="98" t="s">
        <v>155</v>
      </c>
      <c r="B251" s="68">
        <f>SUM(B238:B249)</f>
        <v>928264639</v>
      </c>
      <c r="C251" s="68">
        <f>SUM(C238:C249)</f>
        <v>192847135</v>
      </c>
      <c r="D251" s="68"/>
      <c r="E251" s="68"/>
      <c r="F251" s="68"/>
      <c r="G251" s="68"/>
      <c r="H251" s="68"/>
      <c r="I251" s="68"/>
      <c r="J251" s="68">
        <f>SUM(J238:J249)</f>
        <v>5350039</v>
      </c>
      <c r="K251" s="68">
        <f>SUM(K238:K250)</f>
        <v>229703</v>
      </c>
      <c r="L251" s="69">
        <f>SUM(L238:L249)</f>
        <v>0</v>
      </c>
    </row>
    <row r="252" spans="1:12" ht="14.4" x14ac:dyDescent="0.3">
      <c r="A252" s="35"/>
      <c r="B252" s="35"/>
      <c r="C252" s="35"/>
      <c r="D252" s="35"/>
      <c r="E252" s="35"/>
      <c r="F252" s="35"/>
      <c r="G252" s="35"/>
      <c r="H252" s="35"/>
      <c r="I252" s="35"/>
      <c r="J252" s="35"/>
      <c r="K252" s="35"/>
      <c r="L252" s="35"/>
    </row>
    <row r="253" spans="1:12" ht="24" customHeight="1" x14ac:dyDescent="0.3">
      <c r="A253" s="56">
        <f>DATE(2013,1,1)</f>
        <v>41275</v>
      </c>
      <c r="B253" s="57">
        <v>73506206</v>
      </c>
      <c r="C253" s="57">
        <v>13423660</v>
      </c>
      <c r="D253" s="57">
        <v>1263616</v>
      </c>
      <c r="E253" s="57">
        <v>710515</v>
      </c>
      <c r="F253" s="57">
        <v>144609</v>
      </c>
      <c r="G253" s="57">
        <v>63585</v>
      </c>
      <c r="H253" s="57">
        <v>11241335</v>
      </c>
      <c r="I253" s="57">
        <v>227527</v>
      </c>
      <c r="J253" s="57">
        <v>130476</v>
      </c>
      <c r="K253" s="57">
        <v>10111</v>
      </c>
      <c r="L253" s="57" t="s">
        <v>137</v>
      </c>
    </row>
    <row r="254" spans="1:12" ht="24" customHeight="1" x14ac:dyDescent="0.3">
      <c r="A254" s="56">
        <f>DATE(2013,2,1)</f>
        <v>41306</v>
      </c>
      <c r="B254" s="57">
        <v>67364528</v>
      </c>
      <c r="C254" s="57">
        <v>11749053</v>
      </c>
      <c r="D254" s="57">
        <v>1240053</v>
      </c>
      <c r="E254" s="57">
        <v>488818</v>
      </c>
      <c r="F254" s="57">
        <v>101762</v>
      </c>
      <c r="G254" s="57">
        <v>44686</v>
      </c>
      <c r="H254" s="57">
        <v>9874177</v>
      </c>
      <c r="I254" s="57">
        <v>180951</v>
      </c>
      <c r="J254" s="57">
        <v>62040</v>
      </c>
      <c r="K254" s="57">
        <v>17409</v>
      </c>
      <c r="L254" s="57" t="s">
        <v>137</v>
      </c>
    </row>
    <row r="255" spans="1:12" ht="24" customHeight="1" x14ac:dyDescent="0.3">
      <c r="A255" s="56">
        <f>DATE(2013,3,1)</f>
        <v>41334</v>
      </c>
      <c r="B255" s="57">
        <v>73563110</v>
      </c>
      <c r="C255" s="57">
        <v>13454547</v>
      </c>
      <c r="D255" s="57">
        <v>441253</v>
      </c>
      <c r="E255" s="57">
        <v>441253</v>
      </c>
      <c r="F255" s="57">
        <v>159269</v>
      </c>
      <c r="G255" s="57" t="s">
        <v>192</v>
      </c>
      <c r="H255" s="57">
        <v>11119088</v>
      </c>
      <c r="I255" s="57">
        <v>170557</v>
      </c>
      <c r="J255" s="57">
        <v>296513</v>
      </c>
      <c r="K255" s="57">
        <v>1954</v>
      </c>
      <c r="L255" s="57" t="s">
        <v>137</v>
      </c>
    </row>
    <row r="256" spans="1:12" ht="24" customHeight="1" x14ac:dyDescent="0.3">
      <c r="A256" s="56">
        <f>DATE(2013,4,1)</f>
        <v>41365</v>
      </c>
      <c r="B256" s="57">
        <v>77728718</v>
      </c>
      <c r="C256" s="57">
        <v>15882761</v>
      </c>
      <c r="D256" s="57">
        <v>3188665</v>
      </c>
      <c r="E256" s="57">
        <v>140608</v>
      </c>
      <c r="F256" s="57">
        <v>123995</v>
      </c>
      <c r="G256" s="57">
        <v>28271</v>
      </c>
      <c r="H256" s="57">
        <v>12401222</v>
      </c>
      <c r="I256" s="57">
        <v>262458</v>
      </c>
      <c r="J256" s="57">
        <v>5575</v>
      </c>
      <c r="K256" s="57">
        <v>1503</v>
      </c>
      <c r="L256" s="57" t="s">
        <v>137</v>
      </c>
    </row>
    <row r="257" spans="1:12" ht="24" customHeight="1" x14ac:dyDescent="0.3">
      <c r="A257" s="56">
        <f>DATE(2013,5,1)</f>
        <v>41395</v>
      </c>
      <c r="B257" s="57">
        <v>81779205</v>
      </c>
      <c r="C257" s="57">
        <v>17558974</v>
      </c>
      <c r="D257" s="57">
        <v>3917919</v>
      </c>
      <c r="E257" s="57">
        <v>49156</v>
      </c>
      <c r="F257" s="57">
        <v>143735</v>
      </c>
      <c r="G257" s="57">
        <v>18244</v>
      </c>
      <c r="H257" s="57">
        <v>13429920</v>
      </c>
      <c r="I257" s="57">
        <v>184812</v>
      </c>
      <c r="J257" s="57">
        <v>555109</v>
      </c>
      <c r="K257" s="57">
        <v>2326</v>
      </c>
      <c r="L257" s="57" t="s">
        <v>137</v>
      </c>
    </row>
    <row r="258" spans="1:12" ht="24" customHeight="1" x14ac:dyDescent="0.3">
      <c r="A258" s="56">
        <f>DATE(2013,6,1)</f>
        <v>41426</v>
      </c>
      <c r="B258" s="57">
        <v>76508279</v>
      </c>
      <c r="C258" s="57">
        <v>16882156</v>
      </c>
      <c r="D258" s="118">
        <v>4016031</v>
      </c>
      <c r="E258" s="118">
        <v>42989</v>
      </c>
      <c r="F258" s="118">
        <v>167263</v>
      </c>
      <c r="G258" s="118">
        <v>36377</v>
      </c>
      <c r="H258" s="118">
        <v>12619496</v>
      </c>
      <c r="I258" s="118">
        <v>212149</v>
      </c>
      <c r="J258" s="57">
        <v>58235</v>
      </c>
      <c r="K258" s="57">
        <v>1501</v>
      </c>
      <c r="L258" s="57" t="s">
        <v>137</v>
      </c>
    </row>
    <row r="259" spans="1:12" ht="24" customHeight="1" x14ac:dyDescent="0.3">
      <c r="A259" s="56">
        <f>DATE(2013,7,1)</f>
        <v>41456</v>
      </c>
      <c r="B259" s="57">
        <v>75295685</v>
      </c>
      <c r="C259" s="57">
        <v>14882441</v>
      </c>
      <c r="D259" s="57">
        <v>2798153</v>
      </c>
      <c r="E259" s="57">
        <v>47604</v>
      </c>
      <c r="F259" s="57">
        <v>168963</v>
      </c>
      <c r="G259" s="57">
        <v>14402</v>
      </c>
      <c r="H259" s="57">
        <v>11853319</v>
      </c>
      <c r="I259" s="57">
        <v>225618</v>
      </c>
      <c r="J259" s="57">
        <v>3915728</v>
      </c>
      <c r="K259" s="57">
        <v>11811</v>
      </c>
      <c r="L259" s="57" t="s">
        <v>137</v>
      </c>
    </row>
    <row r="260" spans="1:12" ht="24" customHeight="1" x14ac:dyDescent="0.3">
      <c r="A260" s="56">
        <f>DATE(2013,8,1)</f>
        <v>41487</v>
      </c>
      <c r="B260" s="57">
        <v>79035343</v>
      </c>
      <c r="C260" s="57">
        <v>16298605</v>
      </c>
      <c r="D260" s="57">
        <v>2801628</v>
      </c>
      <c r="E260" s="57">
        <v>59948</v>
      </c>
      <c r="F260" s="57">
        <v>187213</v>
      </c>
      <c r="G260" s="57">
        <v>19581</v>
      </c>
      <c r="H260" s="57">
        <v>13230235</v>
      </c>
      <c r="I260" s="57">
        <v>219725</v>
      </c>
      <c r="J260" s="57">
        <v>12590298</v>
      </c>
      <c r="K260" s="57">
        <v>21500</v>
      </c>
      <c r="L260" s="57" t="s">
        <v>137</v>
      </c>
    </row>
    <row r="261" spans="1:12" ht="24" customHeight="1" x14ac:dyDescent="0.3">
      <c r="A261" s="56">
        <f>DATE(2013,9,1)</f>
        <v>41518</v>
      </c>
      <c r="B261" s="57">
        <v>75192247</v>
      </c>
      <c r="C261" s="57">
        <v>15800973</v>
      </c>
      <c r="D261" s="57">
        <v>3529486</v>
      </c>
      <c r="E261" s="57">
        <v>116603</v>
      </c>
      <c r="F261" s="57">
        <v>151647</v>
      </c>
      <c r="G261" s="57">
        <v>23014</v>
      </c>
      <c r="H261" s="57">
        <v>11980223</v>
      </c>
      <c r="I261" s="57">
        <v>206159</v>
      </c>
      <c r="J261" s="57">
        <v>17464</v>
      </c>
      <c r="K261" s="57">
        <v>3786</v>
      </c>
      <c r="L261" s="57" t="s">
        <v>137</v>
      </c>
    </row>
    <row r="262" spans="1:12" ht="24" customHeight="1" x14ac:dyDescent="0.3">
      <c r="A262" s="56">
        <f>DATE(2013,10,1)</f>
        <v>41548</v>
      </c>
      <c r="B262" s="57">
        <v>83608398</v>
      </c>
      <c r="C262" s="57">
        <v>18274119</v>
      </c>
      <c r="D262" s="57">
        <v>4202756</v>
      </c>
      <c r="E262" s="57">
        <v>494749</v>
      </c>
      <c r="F262" s="57">
        <v>183844</v>
      </c>
      <c r="G262" s="57">
        <v>39803</v>
      </c>
      <c r="H262" s="57">
        <v>13352967</v>
      </c>
      <c r="I262" s="57">
        <v>188199</v>
      </c>
      <c r="J262" s="57">
        <v>0</v>
      </c>
      <c r="K262" s="57">
        <v>50782</v>
      </c>
      <c r="L262" s="57" t="s">
        <v>137</v>
      </c>
    </row>
    <row r="263" spans="1:12" ht="24" customHeight="1" x14ac:dyDescent="0.3">
      <c r="A263" s="56">
        <f>DATE(2013,11,1)</f>
        <v>41579</v>
      </c>
      <c r="B263" s="57">
        <v>74339262</v>
      </c>
      <c r="C263" s="57">
        <v>15478835</v>
      </c>
      <c r="D263" s="57">
        <v>2993401</v>
      </c>
      <c r="E263" s="57">
        <v>413522</v>
      </c>
      <c r="F263" s="57">
        <v>136459</v>
      </c>
      <c r="G263" s="57">
        <v>31090</v>
      </c>
      <c r="H263" s="57">
        <v>11904363</v>
      </c>
      <c r="I263" s="57">
        <v>178205</v>
      </c>
      <c r="J263" s="57">
        <v>16182</v>
      </c>
      <c r="K263" s="57">
        <v>74138</v>
      </c>
      <c r="L263" s="57" t="s">
        <v>137</v>
      </c>
    </row>
    <row r="264" spans="1:12" ht="24" customHeight="1" x14ac:dyDescent="0.3">
      <c r="A264" s="56">
        <f>DATE(2013,12,1)</f>
        <v>41609</v>
      </c>
      <c r="B264" s="57">
        <v>67868939</v>
      </c>
      <c r="C264" s="57">
        <v>13130177</v>
      </c>
      <c r="D264" s="57">
        <v>1997021</v>
      </c>
      <c r="E264" s="57">
        <v>545577</v>
      </c>
      <c r="F264" s="57">
        <v>145465</v>
      </c>
      <c r="G264" s="57">
        <v>68865</v>
      </c>
      <c r="H264" s="57">
        <v>10373249</v>
      </c>
      <c r="I264" s="57">
        <v>241683</v>
      </c>
      <c r="J264" s="57">
        <v>0</v>
      </c>
      <c r="K264" s="57">
        <v>0</v>
      </c>
      <c r="L264" s="57" t="s">
        <v>137</v>
      </c>
    </row>
    <row r="265" spans="1:12" ht="24" customHeight="1" thickBot="1" x14ac:dyDescent="0.35">
      <c r="A265" s="67"/>
      <c r="B265" s="58"/>
      <c r="C265" s="58"/>
      <c r="D265" s="58"/>
      <c r="E265" s="58"/>
      <c r="F265" s="58"/>
      <c r="G265" s="58"/>
      <c r="H265" s="58"/>
      <c r="I265" s="58"/>
      <c r="J265" s="58"/>
      <c r="K265" s="58"/>
      <c r="L265" s="58"/>
    </row>
    <row r="266" spans="1:12" ht="24" customHeight="1" thickBot="1" x14ac:dyDescent="0.35">
      <c r="A266" s="98" t="s">
        <v>155</v>
      </c>
      <c r="B266" s="68">
        <f>SUM(B253:B264)</f>
        <v>905789920</v>
      </c>
      <c r="C266" s="68">
        <f>SUM(C253:C264)</f>
        <v>182816301</v>
      </c>
      <c r="D266" s="68">
        <f t="shared" ref="D266:I266" si="0">SUM(D253:D265)</f>
        <v>32389982</v>
      </c>
      <c r="E266" s="68">
        <f t="shared" si="0"/>
        <v>3551342</v>
      </c>
      <c r="F266" s="68">
        <f t="shared" si="0"/>
        <v>1814224</v>
      </c>
      <c r="G266" s="68">
        <f t="shared" si="0"/>
        <v>387918</v>
      </c>
      <c r="H266" s="68">
        <f t="shared" si="0"/>
        <v>143379594</v>
      </c>
      <c r="I266" s="68">
        <f t="shared" si="0"/>
        <v>2498043</v>
      </c>
      <c r="J266" s="68">
        <f>SUM(J253:J264)</f>
        <v>17647620</v>
      </c>
      <c r="K266" s="68">
        <f>SUM(K253:K265)</f>
        <v>196821</v>
      </c>
      <c r="L266" s="69">
        <f>SUM(L253:L264)</f>
        <v>0</v>
      </c>
    </row>
    <row r="268" spans="1:12" ht="24" customHeight="1" x14ac:dyDescent="0.3">
      <c r="A268" s="56">
        <f>DATE(2014,1,1)</f>
        <v>41640</v>
      </c>
      <c r="B268" s="57">
        <v>72606875</v>
      </c>
      <c r="C268" s="57">
        <v>13600095</v>
      </c>
      <c r="D268" s="57">
        <v>1214930</v>
      </c>
      <c r="E268" s="57">
        <v>953142</v>
      </c>
      <c r="F268" s="57">
        <v>190898</v>
      </c>
      <c r="G268" s="57">
        <v>124505</v>
      </c>
      <c r="H268" s="57">
        <v>11116620</v>
      </c>
      <c r="I268" s="57">
        <v>225084</v>
      </c>
      <c r="J268" s="57">
        <v>0</v>
      </c>
      <c r="K268" s="57">
        <v>0</v>
      </c>
      <c r="L268" s="57" t="s">
        <v>137</v>
      </c>
    </row>
    <row r="269" spans="1:12" ht="24" customHeight="1" x14ac:dyDescent="0.3">
      <c r="A269" s="56">
        <f>DATE(2014,2,1)</f>
        <v>41671</v>
      </c>
      <c r="B269" s="57">
        <v>68897344</v>
      </c>
      <c r="C269" s="57">
        <v>12511058</v>
      </c>
      <c r="D269" s="57">
        <v>877972</v>
      </c>
      <c r="E269" s="57">
        <v>576559</v>
      </c>
      <c r="F269" s="57">
        <v>118694</v>
      </c>
      <c r="G269" s="57">
        <v>69009</v>
      </c>
      <c r="H269" s="57">
        <v>10868824</v>
      </c>
      <c r="I269" s="57">
        <v>285573</v>
      </c>
      <c r="J269" s="57">
        <v>0</v>
      </c>
      <c r="K269" s="57">
        <v>0</v>
      </c>
      <c r="L269" s="57" t="s">
        <v>137</v>
      </c>
    </row>
    <row r="270" spans="1:12" ht="24" customHeight="1" x14ac:dyDescent="0.3">
      <c r="A270" s="56">
        <f>DATE(2014,3,1)</f>
        <v>41699</v>
      </c>
      <c r="B270" s="57">
        <v>77003535</v>
      </c>
      <c r="C270" s="57">
        <v>14489704</v>
      </c>
      <c r="D270" s="57">
        <v>1970217</v>
      </c>
      <c r="E270" s="57">
        <v>330941</v>
      </c>
      <c r="F270" s="57">
        <v>139717</v>
      </c>
      <c r="G270" s="57">
        <v>40370</v>
      </c>
      <c r="H270" s="57">
        <v>12008459</v>
      </c>
      <c r="I270" s="57">
        <v>186833</v>
      </c>
      <c r="J270" s="57">
        <v>0</v>
      </c>
      <c r="K270" s="57">
        <v>0</v>
      </c>
      <c r="L270" s="57" t="s">
        <v>137</v>
      </c>
    </row>
    <row r="271" spans="1:12" ht="24" customHeight="1" x14ac:dyDescent="0.3">
      <c r="A271" s="56">
        <f>DATE(2014,4,1)</f>
        <v>41730</v>
      </c>
      <c r="B271" s="57">
        <v>79056670</v>
      </c>
      <c r="C271" s="57">
        <v>15981521</v>
      </c>
      <c r="D271" s="57">
        <v>2974988</v>
      </c>
      <c r="E271" s="57">
        <v>82633</v>
      </c>
      <c r="F271" s="57">
        <v>132991</v>
      </c>
      <c r="G271" s="57">
        <v>15166</v>
      </c>
      <c r="H271" s="57">
        <v>12775743</v>
      </c>
      <c r="I271" s="57">
        <v>186751</v>
      </c>
      <c r="J271" s="57">
        <v>0</v>
      </c>
      <c r="K271" s="57">
        <v>277</v>
      </c>
      <c r="L271" s="57" t="s">
        <v>137</v>
      </c>
    </row>
    <row r="272" spans="1:12" ht="24" customHeight="1" x14ac:dyDescent="0.3">
      <c r="A272" s="56">
        <f>DATE(2014,5,1)</f>
        <v>41760</v>
      </c>
      <c r="B272" s="57">
        <v>80261162</v>
      </c>
      <c r="C272" s="57">
        <v>16690076</v>
      </c>
      <c r="D272" s="57">
        <v>4075864</v>
      </c>
      <c r="E272" s="57">
        <v>42343</v>
      </c>
      <c r="F272" s="57">
        <v>125339</v>
      </c>
      <c r="G272" s="57">
        <v>14404</v>
      </c>
      <c r="H272" s="57">
        <v>12432126</v>
      </c>
      <c r="I272" s="57">
        <v>247451</v>
      </c>
      <c r="J272" s="57">
        <v>112340</v>
      </c>
      <c r="K272" s="57">
        <v>7107</v>
      </c>
      <c r="L272" s="57" t="s">
        <v>137</v>
      </c>
    </row>
    <row r="273" spans="1:12" ht="24" customHeight="1" x14ac:dyDescent="0.3">
      <c r="A273" s="56">
        <f>DATE(2014,6,1)</f>
        <v>41791</v>
      </c>
      <c r="B273" s="57">
        <v>78886608</v>
      </c>
      <c r="C273" s="57">
        <v>16823668</v>
      </c>
      <c r="D273" s="118">
        <v>4297610</v>
      </c>
      <c r="E273" s="118">
        <v>49464</v>
      </c>
      <c r="F273" s="118">
        <v>160258</v>
      </c>
      <c r="G273" s="118">
        <v>28967</v>
      </c>
      <c r="H273" s="118">
        <v>12287369</v>
      </c>
      <c r="I273" s="118">
        <v>274491</v>
      </c>
      <c r="J273" s="57">
        <v>13034</v>
      </c>
      <c r="K273" s="57">
        <v>0</v>
      </c>
      <c r="L273" s="57" t="s">
        <v>137</v>
      </c>
    </row>
    <row r="274" spans="1:12" ht="24" customHeight="1" x14ac:dyDescent="0.3">
      <c r="A274" s="56">
        <f>DATE(2014,7,1)</f>
        <v>41821</v>
      </c>
      <c r="B274" s="57">
        <v>79483421</v>
      </c>
      <c r="C274" s="57">
        <v>16512493</v>
      </c>
      <c r="D274" s="57">
        <v>2733411</v>
      </c>
      <c r="E274" s="57">
        <v>78344</v>
      </c>
      <c r="F274" s="57">
        <v>192573</v>
      </c>
      <c r="G274" s="57">
        <v>23624</v>
      </c>
      <c r="H274" s="57">
        <v>13484541</v>
      </c>
      <c r="I274" s="57">
        <v>224454</v>
      </c>
      <c r="J274" s="57">
        <v>6445</v>
      </c>
      <c r="K274" s="57">
        <v>6887</v>
      </c>
      <c r="L274" s="57" t="s">
        <v>137</v>
      </c>
    </row>
    <row r="275" spans="1:12" ht="24" customHeight="1" x14ac:dyDescent="0.3">
      <c r="A275" s="56">
        <f>DATE(2014,8,1)</f>
        <v>41852</v>
      </c>
      <c r="B275" s="57">
        <v>78268001</v>
      </c>
      <c r="C275" s="57">
        <v>15807034</v>
      </c>
      <c r="D275" s="57">
        <v>2521483</v>
      </c>
      <c r="E275" s="57">
        <v>114151</v>
      </c>
      <c r="F275" s="57">
        <v>204125</v>
      </c>
      <c r="G275" s="57">
        <v>15443</v>
      </c>
      <c r="H275" s="57">
        <v>12951832</v>
      </c>
      <c r="I275" s="57">
        <v>201362</v>
      </c>
      <c r="J275" s="57">
        <v>0</v>
      </c>
      <c r="K275" s="57">
        <v>0</v>
      </c>
      <c r="L275" s="57" t="s">
        <v>137</v>
      </c>
    </row>
    <row r="276" spans="1:12" ht="24" customHeight="1" x14ac:dyDescent="0.3">
      <c r="A276" s="56">
        <f>DATE(2014,9,1)</f>
        <v>41883</v>
      </c>
      <c r="B276" s="57">
        <v>80556642</v>
      </c>
      <c r="C276" s="57">
        <v>17096779</v>
      </c>
      <c r="D276" s="57">
        <v>4206536</v>
      </c>
      <c r="E276" s="57">
        <v>228526</v>
      </c>
      <c r="F276" s="57">
        <v>175332</v>
      </c>
      <c r="G276" s="57">
        <v>22585</v>
      </c>
      <c r="H276" s="57">
        <v>12463800</v>
      </c>
      <c r="I276" s="57">
        <v>228102</v>
      </c>
      <c r="J276" s="57">
        <v>0</v>
      </c>
      <c r="K276" s="57">
        <v>0</v>
      </c>
      <c r="L276" s="57" t="s">
        <v>137</v>
      </c>
    </row>
    <row r="277" spans="1:12" ht="24" customHeight="1" x14ac:dyDescent="0.3">
      <c r="A277" s="56">
        <f>DATE(2014,10,1)</f>
        <v>41913</v>
      </c>
      <c r="B277" s="57">
        <v>85449376</v>
      </c>
      <c r="C277" s="57">
        <v>17740959</v>
      </c>
      <c r="D277" s="57">
        <v>4127383</v>
      </c>
      <c r="E277" s="57">
        <v>414365</v>
      </c>
      <c r="F277" s="57">
        <v>131659</v>
      </c>
      <c r="G277" s="57">
        <v>40167</v>
      </c>
      <c r="H277" s="57">
        <v>13027385</v>
      </c>
      <c r="I277" s="57">
        <v>194399</v>
      </c>
      <c r="J277" s="57">
        <v>0</v>
      </c>
      <c r="K277" s="57">
        <v>51253</v>
      </c>
      <c r="L277" s="57" t="s">
        <v>137</v>
      </c>
    </row>
    <row r="278" spans="1:12" ht="24" customHeight="1" x14ac:dyDescent="0.3">
      <c r="A278" s="56">
        <f>DATE(2014,11,1)</f>
        <v>41944</v>
      </c>
      <c r="B278" s="57">
        <v>73988713</v>
      </c>
      <c r="C278" s="57">
        <v>13502071</v>
      </c>
      <c r="D278" s="57">
        <v>2467609</v>
      </c>
      <c r="E278" s="57">
        <v>408032</v>
      </c>
      <c r="F278" s="57">
        <v>115368</v>
      </c>
      <c r="G278" s="57">
        <v>60960</v>
      </c>
      <c r="H278" s="57">
        <v>10450102</v>
      </c>
      <c r="I278" s="57">
        <v>1316446</v>
      </c>
      <c r="J278" s="57">
        <v>170830</v>
      </c>
      <c r="K278" s="57">
        <v>70101</v>
      </c>
      <c r="L278" s="57" t="s">
        <v>137</v>
      </c>
    </row>
    <row r="279" spans="1:12" ht="24" customHeight="1" x14ac:dyDescent="0.3">
      <c r="A279" s="56">
        <f>DATE(2014,12,1)</f>
        <v>41974</v>
      </c>
      <c r="B279" s="57">
        <v>73111587</v>
      </c>
      <c r="C279" s="57">
        <v>13466465</v>
      </c>
      <c r="D279" s="57">
        <v>2146662</v>
      </c>
      <c r="E279" s="57">
        <v>461905</v>
      </c>
      <c r="F279" s="57">
        <v>119295</v>
      </c>
      <c r="G279" s="57">
        <v>70709</v>
      </c>
      <c r="H279" s="57">
        <v>10667894</v>
      </c>
      <c r="I279" s="57">
        <v>194309</v>
      </c>
      <c r="J279" s="57">
        <v>0</v>
      </c>
      <c r="K279" s="57">
        <v>2250</v>
      </c>
      <c r="L279" s="57" t="s">
        <v>137</v>
      </c>
    </row>
    <row r="280" spans="1:12" ht="24" customHeight="1" thickBot="1" x14ac:dyDescent="0.35">
      <c r="A280" s="67"/>
      <c r="B280" s="58"/>
      <c r="C280" s="58"/>
      <c r="D280" s="58"/>
      <c r="E280" s="58"/>
      <c r="F280" s="58"/>
      <c r="G280" s="58"/>
      <c r="H280" s="58"/>
      <c r="I280" s="58"/>
      <c r="J280" s="58"/>
      <c r="K280" s="58"/>
      <c r="L280" s="58"/>
    </row>
    <row r="281" spans="1:12" ht="24" customHeight="1" thickBot="1" x14ac:dyDescent="0.35">
      <c r="A281" s="98" t="s">
        <v>155</v>
      </c>
      <c r="B281" s="68">
        <f t="shared" ref="B281:L281" si="1">SUM(B268:B279)</f>
        <v>927569934</v>
      </c>
      <c r="C281" s="68">
        <f t="shared" si="1"/>
        <v>184221923</v>
      </c>
      <c r="D281" s="68">
        <f t="shared" si="1"/>
        <v>33614665</v>
      </c>
      <c r="E281" s="68">
        <f t="shared" si="1"/>
        <v>3740405</v>
      </c>
      <c r="F281" s="68">
        <f t="shared" si="1"/>
        <v>1806249</v>
      </c>
      <c r="G281" s="68">
        <f t="shared" si="1"/>
        <v>525909</v>
      </c>
      <c r="H281" s="68">
        <f t="shared" si="1"/>
        <v>144534695</v>
      </c>
      <c r="I281" s="68">
        <f t="shared" si="1"/>
        <v>3765255</v>
      </c>
      <c r="J281" s="68">
        <f t="shared" si="1"/>
        <v>302649</v>
      </c>
      <c r="K281" s="68">
        <f t="shared" si="1"/>
        <v>137875</v>
      </c>
      <c r="L281" s="69">
        <f t="shared" si="1"/>
        <v>0</v>
      </c>
    </row>
    <row r="282" spans="1:12" ht="24" customHeight="1" x14ac:dyDescent="0.3"/>
    <row r="283" spans="1:12" ht="24" customHeight="1" x14ac:dyDescent="0.3">
      <c r="A283" s="56">
        <f>DATE(2015,1,1)</f>
        <v>42005</v>
      </c>
      <c r="B283" s="57">
        <v>74260297</v>
      </c>
      <c r="C283" s="57">
        <v>13321441</v>
      </c>
      <c r="D283" s="57">
        <v>1994583</v>
      </c>
      <c r="E283" s="57">
        <v>741091</v>
      </c>
      <c r="F283" s="57">
        <v>122634</v>
      </c>
      <c r="G283" s="57">
        <v>73521</v>
      </c>
      <c r="H283" s="57">
        <v>10389612</v>
      </c>
      <c r="I283" s="57">
        <v>198793</v>
      </c>
      <c r="J283" s="57">
        <v>0</v>
      </c>
      <c r="K283" s="57">
        <v>0</v>
      </c>
      <c r="L283" s="57" t="s">
        <v>137</v>
      </c>
    </row>
    <row r="284" spans="1:12" ht="24" customHeight="1" x14ac:dyDescent="0.3">
      <c r="A284" s="56">
        <f>DATE(2015,2,1)</f>
        <v>42036</v>
      </c>
      <c r="B284" s="57">
        <v>66200779</v>
      </c>
      <c r="C284" s="57">
        <v>10721171</v>
      </c>
      <c r="D284" s="57">
        <v>1773658</v>
      </c>
      <c r="E284" s="57">
        <v>729569</v>
      </c>
      <c r="F284" s="57">
        <v>130347</v>
      </c>
      <c r="G284" s="57">
        <v>72456</v>
      </c>
      <c r="H284" s="57">
        <v>8015141</v>
      </c>
      <c r="I284" s="57">
        <v>185838</v>
      </c>
      <c r="J284" s="57">
        <v>0</v>
      </c>
      <c r="K284" s="57">
        <v>1400</v>
      </c>
      <c r="L284" s="57" t="s">
        <v>137</v>
      </c>
    </row>
    <row r="285" spans="1:12" ht="24" customHeight="1" x14ac:dyDescent="0.3">
      <c r="A285" s="56">
        <f>DATE(2015,3,1)</f>
        <v>42064</v>
      </c>
      <c r="B285" s="57">
        <v>74119659</v>
      </c>
      <c r="C285" s="57">
        <v>11253716</v>
      </c>
      <c r="D285" s="57">
        <v>1721204</v>
      </c>
      <c r="E285" s="57">
        <v>367502</v>
      </c>
      <c r="F285" s="57">
        <v>128885</v>
      </c>
      <c r="G285" s="57">
        <v>43858</v>
      </c>
      <c r="H285" s="57">
        <v>8992267</v>
      </c>
      <c r="I285" s="57">
        <v>215532</v>
      </c>
      <c r="J285" s="57">
        <v>144756</v>
      </c>
      <c r="K285" s="57">
        <v>15911</v>
      </c>
      <c r="L285" s="57" t="s">
        <v>137</v>
      </c>
    </row>
    <row r="286" spans="1:12" ht="24" customHeight="1" x14ac:dyDescent="0.3">
      <c r="A286" s="56">
        <f>DATE(2015,4,1)</f>
        <v>42095</v>
      </c>
      <c r="B286" s="57">
        <v>76397016</v>
      </c>
      <c r="C286" s="57">
        <v>12282049</v>
      </c>
      <c r="D286" s="57">
        <v>2305122</v>
      </c>
      <c r="E286" s="57">
        <v>92690</v>
      </c>
      <c r="F286" s="57">
        <v>133186</v>
      </c>
      <c r="G286" s="57">
        <v>18744</v>
      </c>
      <c r="H286" s="57">
        <v>9732307</v>
      </c>
      <c r="I286" s="57">
        <v>174778</v>
      </c>
      <c r="J286" s="57">
        <v>190417</v>
      </c>
      <c r="K286" s="57">
        <v>2645</v>
      </c>
      <c r="L286" s="57" t="s">
        <v>137</v>
      </c>
    </row>
    <row r="287" spans="1:12" ht="24" customHeight="1" x14ac:dyDescent="0.3">
      <c r="A287" s="56">
        <f>DATE(2015,5,1)</f>
        <v>42125</v>
      </c>
      <c r="B287" s="57">
        <v>79693983</v>
      </c>
      <c r="C287" s="57">
        <v>14236938</v>
      </c>
      <c r="D287" s="57">
        <v>3923885</v>
      </c>
      <c r="E287" s="57">
        <v>41537</v>
      </c>
      <c r="F287" s="57">
        <v>150019</v>
      </c>
      <c r="G287" s="57">
        <v>30939</v>
      </c>
      <c r="H287" s="57">
        <v>10090558</v>
      </c>
      <c r="I287" s="57">
        <v>293076</v>
      </c>
      <c r="J287" s="57">
        <v>0</v>
      </c>
      <c r="K287" s="57">
        <v>2490</v>
      </c>
      <c r="L287" s="57" t="s">
        <v>137</v>
      </c>
    </row>
    <row r="288" spans="1:12" ht="24" customHeight="1" x14ac:dyDescent="0.3">
      <c r="A288" s="56">
        <f>DATE(2015,6,1)</f>
        <v>42156</v>
      </c>
      <c r="B288" s="57">
        <v>81982280</v>
      </c>
      <c r="C288" s="57">
        <v>14645385</v>
      </c>
      <c r="D288" s="118">
        <v>4091870</v>
      </c>
      <c r="E288" s="118">
        <v>35669</v>
      </c>
      <c r="F288" s="118">
        <v>152868</v>
      </c>
      <c r="G288" s="118">
        <v>11838</v>
      </c>
      <c r="H288" s="118">
        <v>10353140</v>
      </c>
      <c r="I288" s="118">
        <v>173898</v>
      </c>
      <c r="J288" s="57">
        <v>13527</v>
      </c>
      <c r="K288" s="57">
        <v>0</v>
      </c>
      <c r="L288" s="57" t="s">
        <v>137</v>
      </c>
    </row>
    <row r="289" spans="1:12" ht="24" customHeight="1" x14ac:dyDescent="0.3">
      <c r="A289" s="56">
        <f>DATE(2015,7,1)</f>
        <v>42186</v>
      </c>
      <c r="B289" s="57">
        <v>77461468</v>
      </c>
      <c r="C289" s="57">
        <v>12605426</v>
      </c>
      <c r="D289" s="57">
        <v>2449231</v>
      </c>
      <c r="E289" s="57">
        <v>40775</v>
      </c>
      <c r="F289" s="57">
        <v>200242</v>
      </c>
      <c r="G289" s="57">
        <v>17375</v>
      </c>
      <c r="H289" s="57">
        <v>9897803</v>
      </c>
      <c r="I289" s="57">
        <v>197357</v>
      </c>
      <c r="J289" s="57">
        <v>172098</v>
      </c>
      <c r="K289" s="57">
        <v>23110</v>
      </c>
      <c r="L289" s="57" t="s">
        <v>137</v>
      </c>
    </row>
    <row r="290" spans="1:12" ht="24" customHeight="1" x14ac:dyDescent="0.3">
      <c r="A290" s="56">
        <f>DATE(2015,8,1)</f>
        <v>42217</v>
      </c>
      <c r="B290" s="57">
        <v>79996106</v>
      </c>
      <c r="C290" s="57">
        <v>13745082</v>
      </c>
      <c r="D290" s="57">
        <v>3127382</v>
      </c>
      <c r="E290" s="57">
        <v>102904</v>
      </c>
      <c r="F290" s="57">
        <v>186882</v>
      </c>
      <c r="G290" s="57">
        <v>30217</v>
      </c>
      <c r="H290" s="57">
        <v>10297697</v>
      </c>
      <c r="I290" s="57">
        <v>168668</v>
      </c>
      <c r="J290" s="57">
        <v>0</v>
      </c>
      <c r="K290" s="57">
        <v>27316</v>
      </c>
      <c r="L290" s="57" t="s">
        <v>137</v>
      </c>
    </row>
    <row r="291" spans="1:12" ht="24" customHeight="1" x14ac:dyDescent="0.3">
      <c r="A291" s="56">
        <f>DATE(2015,9,1)</f>
        <v>42248</v>
      </c>
      <c r="B291" s="57">
        <v>82362726</v>
      </c>
      <c r="C291" s="57">
        <v>14602098</v>
      </c>
      <c r="D291" s="57">
        <v>4406690</v>
      </c>
      <c r="E291" s="57">
        <v>202517</v>
      </c>
      <c r="F291" s="57">
        <v>127702</v>
      </c>
      <c r="G291" s="57">
        <v>16820</v>
      </c>
      <c r="H291" s="57">
        <v>9848369</v>
      </c>
      <c r="I291" s="57">
        <v>166107</v>
      </c>
      <c r="J291" s="57">
        <v>30855</v>
      </c>
      <c r="K291" s="57">
        <v>5000</v>
      </c>
      <c r="L291" s="57" t="s">
        <v>137</v>
      </c>
    </row>
    <row r="292" spans="1:12" ht="24" customHeight="1" x14ac:dyDescent="0.3">
      <c r="A292" s="56">
        <f>DATE(2015,10,1)</f>
        <v>42278</v>
      </c>
      <c r="B292" s="57">
        <v>83905480</v>
      </c>
      <c r="C292" s="57">
        <v>14268754</v>
      </c>
      <c r="D292" s="57">
        <v>4148555</v>
      </c>
      <c r="E292" s="57">
        <v>345488</v>
      </c>
      <c r="F292" s="57">
        <v>151219</v>
      </c>
      <c r="G292" s="57">
        <v>43367</v>
      </c>
      <c r="H292" s="57">
        <v>9580125</v>
      </c>
      <c r="I292" s="57">
        <v>238279</v>
      </c>
      <c r="J292" s="57">
        <v>142552</v>
      </c>
      <c r="K292" s="57">
        <v>57501</v>
      </c>
      <c r="L292" s="57" t="s">
        <v>137</v>
      </c>
    </row>
    <row r="293" spans="1:12" ht="24" customHeight="1" x14ac:dyDescent="0.3">
      <c r="A293" s="56">
        <f>DATE(2015,11,1)</f>
        <v>42309</v>
      </c>
      <c r="B293" s="57">
        <v>71587236</v>
      </c>
      <c r="C293" s="57">
        <v>11014987</v>
      </c>
      <c r="D293" s="57">
        <v>2321401</v>
      </c>
      <c r="E293" s="57">
        <v>302776</v>
      </c>
      <c r="F293" s="57">
        <v>113731</v>
      </c>
      <c r="G293" s="57">
        <v>26182</v>
      </c>
      <c r="H293" s="57">
        <v>8250897</v>
      </c>
      <c r="I293" s="57">
        <v>161430</v>
      </c>
      <c r="J293" s="57">
        <v>537184</v>
      </c>
      <c r="K293" s="57">
        <v>87110</v>
      </c>
      <c r="L293" s="57" t="s">
        <v>137</v>
      </c>
    </row>
    <row r="294" spans="1:12" ht="24" customHeight="1" x14ac:dyDescent="0.3">
      <c r="A294" s="56">
        <f>DATE(2015,12,1)</f>
        <v>42339</v>
      </c>
      <c r="B294" s="57">
        <v>71107576</v>
      </c>
      <c r="C294" s="57">
        <v>10543914</v>
      </c>
      <c r="D294" s="57">
        <v>2109103</v>
      </c>
      <c r="E294" s="57">
        <v>331986</v>
      </c>
      <c r="F294" s="57">
        <v>95144</v>
      </c>
      <c r="G294" s="57">
        <v>37465</v>
      </c>
      <c r="H294" s="57">
        <v>7970216</v>
      </c>
      <c r="I294" s="57">
        <v>270806</v>
      </c>
      <c r="J294" s="57">
        <v>0</v>
      </c>
      <c r="K294" s="57">
        <v>0</v>
      </c>
      <c r="L294" s="57" t="s">
        <v>137</v>
      </c>
    </row>
    <row r="295" spans="1:12" ht="24" customHeight="1" thickBot="1" x14ac:dyDescent="0.35">
      <c r="A295" s="67"/>
      <c r="B295" s="58"/>
      <c r="C295" s="58"/>
      <c r="D295" s="58"/>
      <c r="E295" s="58"/>
      <c r="F295" s="58"/>
      <c r="G295" s="58"/>
      <c r="H295" s="58"/>
      <c r="I295" s="58"/>
      <c r="J295" s="58"/>
      <c r="K295" s="58"/>
      <c r="L295" s="58"/>
    </row>
    <row r="296" spans="1:12" ht="24" customHeight="1" thickBot="1" x14ac:dyDescent="0.35">
      <c r="A296" s="98" t="s">
        <v>155</v>
      </c>
      <c r="B296" s="68">
        <f t="shared" ref="B296:L296" si="2">SUM(B283:B294)</f>
        <v>919074606</v>
      </c>
      <c r="C296" s="68">
        <f t="shared" si="2"/>
        <v>153240961</v>
      </c>
      <c r="D296" s="68">
        <f t="shared" si="2"/>
        <v>34372684</v>
      </c>
      <c r="E296" s="68">
        <f t="shared" si="2"/>
        <v>3334504</v>
      </c>
      <c r="F296" s="68">
        <f t="shared" si="2"/>
        <v>1692859</v>
      </c>
      <c r="G296" s="68">
        <f t="shared" si="2"/>
        <v>422782</v>
      </c>
      <c r="H296" s="68">
        <f t="shared" si="2"/>
        <v>113418132</v>
      </c>
      <c r="I296" s="68">
        <f t="shared" si="2"/>
        <v>2444562</v>
      </c>
      <c r="J296" s="68">
        <f t="shared" si="2"/>
        <v>1231389</v>
      </c>
      <c r="K296" s="68">
        <f t="shared" si="2"/>
        <v>222483</v>
      </c>
      <c r="L296" s="69">
        <f t="shared" si="2"/>
        <v>0</v>
      </c>
    </row>
    <row r="297" spans="1:12" ht="24" customHeight="1" x14ac:dyDescent="0.3"/>
    <row r="298" spans="1:12" ht="24" customHeight="1" x14ac:dyDescent="0.3">
      <c r="A298" s="56">
        <f>DATE(2016,1,1)</f>
        <v>42370</v>
      </c>
      <c r="B298" s="57">
        <v>68722935</v>
      </c>
      <c r="C298" s="57">
        <v>9738709</v>
      </c>
      <c r="D298" s="57">
        <v>1971454</v>
      </c>
      <c r="E298" s="57">
        <v>325129</v>
      </c>
      <c r="F298" s="57">
        <v>93964</v>
      </c>
      <c r="G298" s="57">
        <v>37465</v>
      </c>
      <c r="H298" s="57">
        <v>7310697</v>
      </c>
      <c r="I298" s="57">
        <v>254616</v>
      </c>
      <c r="J298" s="57">
        <v>0</v>
      </c>
      <c r="K298" s="57">
        <v>0</v>
      </c>
      <c r="L298" s="57" t="s">
        <v>137</v>
      </c>
    </row>
    <row r="299" spans="1:12" ht="24" customHeight="1" x14ac:dyDescent="0.3">
      <c r="A299" s="56">
        <f>DATE(2016,2,1)</f>
        <v>42401</v>
      </c>
      <c r="B299" s="57">
        <v>68673203</v>
      </c>
      <c r="C299" s="57">
        <v>8173844</v>
      </c>
      <c r="D299" s="57">
        <v>1322264</v>
      </c>
      <c r="E299" s="57">
        <v>511331</v>
      </c>
      <c r="F299" s="57">
        <v>99918</v>
      </c>
      <c r="G299" s="57">
        <v>46306</v>
      </c>
      <c r="H299" s="57">
        <v>6194025</v>
      </c>
      <c r="I299" s="57">
        <v>207762</v>
      </c>
      <c r="J299" s="57">
        <v>0</v>
      </c>
      <c r="K299" s="57">
        <v>11046</v>
      </c>
      <c r="L299" s="57" t="s">
        <v>137</v>
      </c>
    </row>
    <row r="300" spans="1:12" ht="24" customHeight="1" x14ac:dyDescent="0.3">
      <c r="A300" s="56">
        <f>DATE(2016,3,1)</f>
        <v>42430</v>
      </c>
      <c r="B300" s="57">
        <v>79751762</v>
      </c>
      <c r="C300" s="57">
        <v>10361331</v>
      </c>
      <c r="D300" s="57">
        <v>2437331</v>
      </c>
      <c r="E300" s="57">
        <v>240821</v>
      </c>
      <c r="F300" s="57">
        <v>111135</v>
      </c>
      <c r="G300" s="57">
        <v>30342</v>
      </c>
      <c r="H300" s="57">
        <v>7541702</v>
      </c>
      <c r="I300" s="57">
        <v>174978</v>
      </c>
      <c r="J300" s="57">
        <v>0</v>
      </c>
      <c r="K300" s="57">
        <v>22947</v>
      </c>
      <c r="L300" s="57" t="s">
        <v>137</v>
      </c>
    </row>
    <row r="301" spans="1:12" ht="24" customHeight="1" x14ac:dyDescent="0.3">
      <c r="A301" s="56">
        <f>DATE(2016,4,1)</f>
        <v>42461</v>
      </c>
      <c r="B301" s="57">
        <v>74137470</v>
      </c>
      <c r="C301" s="57">
        <v>10187551</v>
      </c>
      <c r="D301" s="57">
        <v>2845610</v>
      </c>
      <c r="E301" s="57">
        <v>94192</v>
      </c>
      <c r="F301" s="57">
        <v>115747</v>
      </c>
      <c r="G301" s="57">
        <v>12501</v>
      </c>
      <c r="H301" s="57">
        <v>7119501</v>
      </c>
      <c r="I301" s="57">
        <v>255990</v>
      </c>
      <c r="J301" s="57">
        <v>0</v>
      </c>
      <c r="K301" s="57">
        <v>1251</v>
      </c>
      <c r="L301" s="57" t="s">
        <v>137</v>
      </c>
    </row>
    <row r="302" spans="1:12" ht="24" customHeight="1" x14ac:dyDescent="0.3">
      <c r="A302" s="56">
        <f>DATE(2016,5,1)</f>
        <v>42491</v>
      </c>
      <c r="B302" s="57">
        <v>73093960</v>
      </c>
      <c r="C302" s="57">
        <v>9383094</v>
      </c>
      <c r="D302" s="57">
        <v>2327083</v>
      </c>
      <c r="E302" s="57">
        <v>41277</v>
      </c>
      <c r="F302" s="57">
        <v>132017</v>
      </c>
      <c r="G302" s="57">
        <v>18052</v>
      </c>
      <c r="H302" s="57">
        <v>6864655</v>
      </c>
      <c r="I302" s="57">
        <v>222973</v>
      </c>
      <c r="J302" s="57">
        <v>0</v>
      </c>
      <c r="K302" s="57">
        <v>2990</v>
      </c>
      <c r="L302" s="57" t="s">
        <v>137</v>
      </c>
    </row>
    <row r="303" spans="1:12" ht="24" customHeight="1" x14ac:dyDescent="0.3">
      <c r="A303" s="56">
        <f>DATE(2016,6,1)</f>
        <v>42522</v>
      </c>
      <c r="B303" s="57">
        <v>79951596</v>
      </c>
      <c r="C303" s="57">
        <v>12841855</v>
      </c>
      <c r="D303" s="118">
        <v>4549891</v>
      </c>
      <c r="E303" s="142">
        <v>28675</v>
      </c>
      <c r="F303" s="118">
        <v>155238</v>
      </c>
      <c r="G303" s="118">
        <v>13908</v>
      </c>
      <c r="H303" s="118">
        <v>8094143</v>
      </c>
      <c r="I303" s="118">
        <v>310312</v>
      </c>
      <c r="J303" s="57">
        <v>0</v>
      </c>
      <c r="K303" s="57">
        <v>0</v>
      </c>
      <c r="L303" s="57" t="s">
        <v>137</v>
      </c>
    </row>
    <row r="304" spans="1:12" ht="24" customHeight="1" x14ac:dyDescent="0.3">
      <c r="A304" s="56">
        <f>DATE(2016,7,1)</f>
        <v>42552</v>
      </c>
      <c r="B304" s="57">
        <v>69919720</v>
      </c>
      <c r="C304" s="57">
        <v>9190826</v>
      </c>
      <c r="D304" s="57">
        <v>2012536</v>
      </c>
      <c r="E304" s="57">
        <v>27134</v>
      </c>
      <c r="F304" s="57">
        <v>148646</v>
      </c>
      <c r="G304" s="57">
        <v>32598</v>
      </c>
      <c r="H304" s="57">
        <v>6969912</v>
      </c>
      <c r="I304" s="57">
        <v>134557</v>
      </c>
      <c r="J304" s="57">
        <v>0</v>
      </c>
      <c r="K304" s="57">
        <v>32575</v>
      </c>
      <c r="L304" s="57" t="s">
        <v>137</v>
      </c>
    </row>
    <row r="305" spans="1:12" ht="24" customHeight="1" x14ac:dyDescent="0.3">
      <c r="A305" s="56">
        <f>DATE(2016,8,1)</f>
        <v>42583</v>
      </c>
      <c r="B305" s="57">
        <v>79072586</v>
      </c>
      <c r="C305" s="57">
        <v>11344505</v>
      </c>
      <c r="D305" s="57">
        <v>2902612</v>
      </c>
      <c r="E305" s="57">
        <v>56536</v>
      </c>
      <c r="F305" s="57">
        <v>195479</v>
      </c>
      <c r="G305" s="57">
        <v>15160</v>
      </c>
      <c r="H305" s="57">
        <v>8174718</v>
      </c>
      <c r="I305" s="57">
        <v>187149</v>
      </c>
      <c r="J305" s="57">
        <v>157260</v>
      </c>
      <c r="K305" s="57">
        <v>26550</v>
      </c>
      <c r="L305" s="57" t="s">
        <v>137</v>
      </c>
    </row>
    <row r="306" spans="1:12" ht="24" customHeight="1" x14ac:dyDescent="0.3">
      <c r="A306" s="56">
        <f>DATE(2016,9,1)</f>
        <v>42614</v>
      </c>
      <c r="B306" s="57">
        <v>78995101</v>
      </c>
      <c r="C306" s="57">
        <v>12661651</v>
      </c>
      <c r="D306" s="57">
        <v>4533461</v>
      </c>
      <c r="E306" s="57">
        <v>101185</v>
      </c>
      <c r="F306" s="57">
        <v>141132</v>
      </c>
      <c r="G306" s="57">
        <v>52354</v>
      </c>
      <c r="H306" s="57">
        <v>7833519</v>
      </c>
      <c r="I306" s="57">
        <v>199876</v>
      </c>
      <c r="J306" s="57">
        <v>0</v>
      </c>
      <c r="K306" s="57">
        <v>0</v>
      </c>
      <c r="L306" s="57" t="s">
        <v>137</v>
      </c>
    </row>
    <row r="307" spans="1:12" ht="24" customHeight="1" x14ac:dyDescent="0.3">
      <c r="A307" s="56">
        <f>DATE(2016,10,1)</f>
        <v>42644</v>
      </c>
      <c r="B307" s="57">
        <v>78835086</v>
      </c>
      <c r="C307" s="57">
        <v>12412613</v>
      </c>
      <c r="D307" s="57">
        <v>4483521</v>
      </c>
      <c r="E307" s="57">
        <v>233912</v>
      </c>
      <c r="F307" s="57">
        <v>164141</v>
      </c>
      <c r="G307" s="57">
        <v>54758</v>
      </c>
      <c r="H307" s="57">
        <v>7476281</v>
      </c>
      <c r="I307" s="57">
        <v>188126</v>
      </c>
      <c r="J307" s="57">
        <v>148646</v>
      </c>
      <c r="K307" s="57">
        <v>26612</v>
      </c>
      <c r="L307" s="57" t="s">
        <v>137</v>
      </c>
    </row>
    <row r="308" spans="1:12" ht="24" customHeight="1" x14ac:dyDescent="0.3">
      <c r="A308" s="56">
        <f>DATE(2016,11,1)</f>
        <v>42675</v>
      </c>
      <c r="B308" s="141">
        <v>72755680</v>
      </c>
      <c r="C308" s="57">
        <v>10038545</v>
      </c>
      <c r="D308" s="57">
        <v>2216610</v>
      </c>
      <c r="E308" s="57">
        <v>348675</v>
      </c>
      <c r="F308" s="57">
        <v>93781</v>
      </c>
      <c r="G308" s="57">
        <v>60377</v>
      </c>
      <c r="H308" s="57">
        <v>7319102</v>
      </c>
      <c r="I308" s="57">
        <v>173670</v>
      </c>
      <c r="J308" s="57">
        <v>0</v>
      </c>
      <c r="K308" s="57">
        <v>0</v>
      </c>
      <c r="L308" s="57" t="s">
        <v>137</v>
      </c>
    </row>
    <row r="309" spans="1:12" ht="24" customHeight="1" x14ac:dyDescent="0.3">
      <c r="A309" s="56">
        <f>DATE(2016,12,1)</f>
        <v>42705</v>
      </c>
      <c r="B309" s="57">
        <v>68780085</v>
      </c>
      <c r="C309" s="57">
        <v>8345151</v>
      </c>
      <c r="D309" s="57">
        <v>1487302</v>
      </c>
      <c r="E309" s="57">
        <v>453608</v>
      </c>
      <c r="F309" s="57">
        <v>110036</v>
      </c>
      <c r="G309" s="57">
        <v>51650</v>
      </c>
      <c r="H309" s="57">
        <v>6242555</v>
      </c>
      <c r="I309" s="57">
        <v>192157</v>
      </c>
      <c r="J309" s="57">
        <v>0</v>
      </c>
      <c r="K309" s="57">
        <v>3852</v>
      </c>
      <c r="L309" s="57" t="s">
        <v>137</v>
      </c>
    </row>
    <row r="310" spans="1:12" ht="24" customHeight="1" thickBot="1" x14ac:dyDescent="0.35">
      <c r="A310" s="67"/>
      <c r="B310" s="58"/>
      <c r="C310" s="58"/>
      <c r="D310" s="58"/>
      <c r="E310" s="58"/>
      <c r="F310" s="58"/>
      <c r="G310" s="58"/>
      <c r="H310" s="58"/>
      <c r="I310" s="58"/>
      <c r="J310" s="58"/>
      <c r="K310" s="58"/>
      <c r="L310" s="58"/>
    </row>
    <row r="311" spans="1:12" ht="24" customHeight="1" thickBot="1" x14ac:dyDescent="0.35">
      <c r="A311" s="98" t="s">
        <v>155</v>
      </c>
      <c r="B311" s="68">
        <f t="shared" ref="B311:L311" si="3">SUM(B298:B309)</f>
        <v>892689184</v>
      </c>
      <c r="C311" s="68">
        <f t="shared" si="3"/>
        <v>124679675</v>
      </c>
      <c r="D311" s="68">
        <f t="shared" si="3"/>
        <v>33089675</v>
      </c>
      <c r="E311" s="68">
        <f t="shared" si="3"/>
        <v>2462475</v>
      </c>
      <c r="F311" s="68">
        <f t="shared" si="3"/>
        <v>1561234</v>
      </c>
      <c r="G311" s="68">
        <f t="shared" si="3"/>
        <v>425471</v>
      </c>
      <c r="H311" s="68">
        <f t="shared" si="3"/>
        <v>87140810</v>
      </c>
      <c r="I311" s="68">
        <f t="shared" si="3"/>
        <v>2502166</v>
      </c>
      <c r="J311" s="68">
        <f t="shared" si="3"/>
        <v>305906</v>
      </c>
      <c r="K311" s="68">
        <f t="shared" si="3"/>
        <v>127823</v>
      </c>
      <c r="L311" s="69">
        <f t="shared" si="3"/>
        <v>0</v>
      </c>
    </row>
    <row r="312" spans="1:12" ht="24" customHeight="1" x14ac:dyDescent="0.3"/>
    <row r="313" spans="1:12" ht="24" customHeight="1" x14ac:dyDescent="0.3">
      <c r="A313" s="56">
        <f>DATE(2017,1,1)</f>
        <v>42736</v>
      </c>
      <c r="B313" s="57">
        <v>67740404</v>
      </c>
      <c r="C313" s="57">
        <v>8223407</v>
      </c>
      <c r="D313" s="57">
        <v>970602</v>
      </c>
      <c r="E313" s="57">
        <v>498928</v>
      </c>
      <c r="F313" s="57">
        <v>105012</v>
      </c>
      <c r="G313" s="57">
        <v>45637</v>
      </c>
      <c r="H313" s="57">
        <v>6603228</v>
      </c>
      <c r="I313" s="57">
        <v>120188</v>
      </c>
      <c r="J313" s="57">
        <v>0</v>
      </c>
      <c r="K313" s="57">
        <v>22241</v>
      </c>
      <c r="L313" s="57" t="s">
        <v>137</v>
      </c>
    </row>
    <row r="314" spans="1:12" ht="24" customHeight="1" x14ac:dyDescent="0.3">
      <c r="A314" s="56">
        <f>DATE(2017,2,1)</f>
        <v>42767</v>
      </c>
      <c r="B314" s="57">
        <v>65138397</v>
      </c>
      <c r="C314" s="57">
        <v>7992317</v>
      </c>
      <c r="D314" s="57">
        <v>1395454</v>
      </c>
      <c r="E314" s="57">
        <v>295391</v>
      </c>
      <c r="F314" s="57">
        <v>139833</v>
      </c>
      <c r="G314" s="57">
        <v>45965</v>
      </c>
      <c r="H314" s="57">
        <v>6115674</v>
      </c>
      <c r="I314" s="57">
        <v>109332</v>
      </c>
      <c r="J314" s="57">
        <v>15121</v>
      </c>
      <c r="K314" s="57">
        <v>13313</v>
      </c>
      <c r="L314" s="57" t="s">
        <v>137</v>
      </c>
    </row>
    <row r="315" spans="1:12" ht="24" customHeight="1" x14ac:dyDescent="0.3">
      <c r="A315" s="56">
        <f>DATE(2017,3,1)</f>
        <v>42795</v>
      </c>
      <c r="B315" s="57">
        <v>76366994</v>
      </c>
      <c r="C315" s="57">
        <v>10085602</v>
      </c>
      <c r="D315" s="57">
        <v>2018822</v>
      </c>
      <c r="E315" s="57">
        <v>262840</v>
      </c>
      <c r="F315" s="57">
        <v>107439</v>
      </c>
      <c r="G315" s="57">
        <v>34062</v>
      </c>
      <c r="H315" s="57">
        <v>7662439</v>
      </c>
      <c r="I315" s="57">
        <v>206164</v>
      </c>
      <c r="J315" s="57">
        <v>0</v>
      </c>
      <c r="K315" s="57">
        <v>0</v>
      </c>
      <c r="L315" s="57" t="s">
        <v>137</v>
      </c>
    </row>
    <row r="316" spans="1:12" ht="24" customHeight="1" x14ac:dyDescent="0.3">
      <c r="A316" s="56">
        <f>DATE(2017,4,1)</f>
        <v>42826</v>
      </c>
      <c r="B316" s="57">
        <v>69302353</v>
      </c>
      <c r="C316" s="141">
        <v>9563304</v>
      </c>
      <c r="D316" s="57">
        <v>2589602</v>
      </c>
      <c r="E316" s="57">
        <v>61106</v>
      </c>
      <c r="F316" s="57">
        <v>97676</v>
      </c>
      <c r="G316" s="57">
        <v>9438</v>
      </c>
      <c r="H316" s="57">
        <v>6805482</v>
      </c>
      <c r="I316" s="57">
        <v>196579</v>
      </c>
      <c r="J316" s="57">
        <v>3465</v>
      </c>
      <c r="K316" s="57">
        <v>2498</v>
      </c>
      <c r="L316" s="57" t="s">
        <v>137</v>
      </c>
    </row>
    <row r="317" spans="1:12" ht="24" customHeight="1" x14ac:dyDescent="0.3">
      <c r="A317" s="56">
        <f>DATE(2017,5,1)</f>
        <v>42856</v>
      </c>
      <c r="B317" s="57">
        <v>77036904</v>
      </c>
      <c r="C317" s="57">
        <v>11211401</v>
      </c>
      <c r="D317" s="57">
        <v>3464324</v>
      </c>
      <c r="E317" s="57">
        <v>34920</v>
      </c>
      <c r="F317" s="57">
        <v>171013</v>
      </c>
      <c r="G317" s="57">
        <v>24922</v>
      </c>
      <c r="H317" s="57">
        <v>7516222</v>
      </c>
      <c r="I317" s="57">
        <v>230598</v>
      </c>
      <c r="J317" s="57">
        <v>0</v>
      </c>
      <c r="K317" s="57">
        <v>3275</v>
      </c>
      <c r="L317" s="57" t="s">
        <v>137</v>
      </c>
    </row>
    <row r="318" spans="1:12" ht="24" customHeight="1" x14ac:dyDescent="0.3">
      <c r="A318" s="56">
        <f>DATE(2017,6,1)</f>
        <v>42887</v>
      </c>
      <c r="B318" s="57">
        <v>77357134</v>
      </c>
      <c r="C318" s="57">
        <v>12184043</v>
      </c>
      <c r="D318" s="142">
        <v>4158835</v>
      </c>
      <c r="E318" s="142">
        <v>33052</v>
      </c>
      <c r="F318" s="118">
        <v>155457</v>
      </c>
      <c r="G318" s="118">
        <v>18596</v>
      </c>
      <c r="H318" s="57">
        <v>7818103</v>
      </c>
      <c r="I318" s="118">
        <v>322887</v>
      </c>
      <c r="J318" s="57">
        <v>0</v>
      </c>
      <c r="K318" s="57">
        <v>8052</v>
      </c>
      <c r="L318" s="57" t="s">
        <v>137</v>
      </c>
    </row>
    <row r="319" spans="1:12" ht="24" customHeight="1" x14ac:dyDescent="0.3">
      <c r="A319" s="56">
        <f>DATE(2017,7,1)</f>
        <v>42917</v>
      </c>
      <c r="B319" s="141">
        <v>69507058</v>
      </c>
      <c r="C319" s="57">
        <v>9500406</v>
      </c>
      <c r="D319" s="57">
        <v>2344700</v>
      </c>
      <c r="E319" s="57">
        <v>34584</v>
      </c>
      <c r="F319" s="57">
        <v>152071</v>
      </c>
      <c r="G319" s="141">
        <v>16610</v>
      </c>
      <c r="H319" s="57">
        <v>6952441</v>
      </c>
      <c r="I319" s="57">
        <v>114779</v>
      </c>
      <c r="J319" s="57">
        <v>99611</v>
      </c>
      <c r="K319" s="141">
        <v>33759</v>
      </c>
      <c r="L319" s="57" t="s">
        <v>137</v>
      </c>
    </row>
    <row r="320" spans="1:12" ht="24" customHeight="1" x14ac:dyDescent="0.3">
      <c r="A320" s="56">
        <f>DATE(2017,8,1)</f>
        <v>42948</v>
      </c>
      <c r="B320" s="57">
        <v>82218714</v>
      </c>
      <c r="C320" s="57">
        <v>11805428</v>
      </c>
      <c r="D320" s="57">
        <v>3176188</v>
      </c>
      <c r="E320" s="57">
        <v>55754</v>
      </c>
      <c r="F320" s="57">
        <v>173948</v>
      </c>
      <c r="G320" s="57">
        <v>10570</v>
      </c>
      <c r="H320" s="57">
        <v>8388968</v>
      </c>
      <c r="I320" s="57">
        <v>195605</v>
      </c>
      <c r="J320" s="57">
        <v>142840</v>
      </c>
      <c r="K320" s="57">
        <v>22992</v>
      </c>
      <c r="L320" s="57" t="s">
        <v>137</v>
      </c>
    </row>
    <row r="321" spans="1:12" ht="24" customHeight="1" x14ac:dyDescent="0.3">
      <c r="A321" s="56">
        <f>DATE(2017,9,1)</f>
        <v>42979</v>
      </c>
      <c r="B321" s="57">
        <v>72454855</v>
      </c>
      <c r="C321" s="57">
        <v>10118349</v>
      </c>
      <c r="D321" s="57">
        <v>3192542</v>
      </c>
      <c r="E321" s="57">
        <v>88964</v>
      </c>
      <c r="F321" s="57">
        <v>131577</v>
      </c>
      <c r="G321" s="57">
        <v>23428</v>
      </c>
      <c r="H321" s="57">
        <v>6681838</v>
      </c>
      <c r="I321" s="57">
        <v>50019</v>
      </c>
      <c r="J321" s="57">
        <v>142044</v>
      </c>
      <c r="K321" s="57">
        <v>0</v>
      </c>
      <c r="L321" s="57" t="s">
        <v>137</v>
      </c>
    </row>
    <row r="322" spans="1:12" ht="24" customHeight="1" x14ac:dyDescent="0.3">
      <c r="A322" s="56">
        <f>DATE(2017,10,1)</f>
        <v>43009</v>
      </c>
      <c r="B322" s="57">
        <v>81688165</v>
      </c>
      <c r="C322" s="57">
        <v>0</v>
      </c>
      <c r="D322" s="57">
        <v>3894427</v>
      </c>
      <c r="E322" s="57">
        <v>262387</v>
      </c>
      <c r="F322" s="57">
        <v>146897</v>
      </c>
      <c r="G322" s="57">
        <v>33071</v>
      </c>
      <c r="H322" s="57">
        <v>7901678</v>
      </c>
      <c r="I322" s="57">
        <v>282193</v>
      </c>
      <c r="J322" s="57">
        <v>0</v>
      </c>
      <c r="K322" s="57">
        <v>0</v>
      </c>
      <c r="L322" s="57" t="s">
        <v>137</v>
      </c>
    </row>
    <row r="323" spans="1:12" ht="24" customHeight="1" x14ac:dyDescent="0.3">
      <c r="A323" s="56">
        <f>DATE(2017,11,1)</f>
        <v>43040</v>
      </c>
      <c r="B323" s="57">
        <v>74252454</v>
      </c>
      <c r="C323" s="57">
        <v>0</v>
      </c>
      <c r="D323" s="57">
        <v>2508092</v>
      </c>
      <c r="E323" s="57">
        <v>328225</v>
      </c>
      <c r="F323" s="57">
        <v>140545</v>
      </c>
      <c r="G323" s="57">
        <v>30524</v>
      </c>
      <c r="H323" s="57">
        <v>7168810</v>
      </c>
      <c r="I323" s="57">
        <v>135509</v>
      </c>
      <c r="J323" s="57">
        <v>0</v>
      </c>
      <c r="K323" s="57">
        <v>0</v>
      </c>
      <c r="L323" s="57" t="s">
        <v>137</v>
      </c>
    </row>
    <row r="324" spans="1:12" ht="24" customHeight="1" x14ac:dyDescent="0.3">
      <c r="A324" s="56">
        <f>DATE(2017,12,1)</f>
        <v>43070</v>
      </c>
      <c r="B324" s="57">
        <v>70852419</v>
      </c>
      <c r="C324" s="57">
        <v>0</v>
      </c>
      <c r="D324" s="57">
        <v>1787192</v>
      </c>
      <c r="E324" s="57">
        <v>528538</v>
      </c>
      <c r="F324" s="57">
        <v>122031</v>
      </c>
      <c r="G324" s="57">
        <v>55739</v>
      </c>
      <c r="H324" s="57">
        <v>6769251</v>
      </c>
      <c r="I324" s="57">
        <v>130913</v>
      </c>
      <c r="J324" s="57">
        <v>0</v>
      </c>
      <c r="K324" s="57">
        <v>0</v>
      </c>
      <c r="L324" s="57" t="s">
        <v>137</v>
      </c>
    </row>
    <row r="325" spans="1:12" ht="24" customHeight="1" thickBot="1" x14ac:dyDescent="0.35">
      <c r="A325" s="67"/>
      <c r="B325" s="58"/>
      <c r="C325" s="58"/>
      <c r="D325" s="58"/>
      <c r="E325" s="58"/>
      <c r="F325" s="58"/>
      <c r="G325" s="58"/>
      <c r="H325" s="58"/>
      <c r="I325" s="58"/>
      <c r="J325" s="58">
        <v>0</v>
      </c>
      <c r="K325" s="58">
        <v>0</v>
      </c>
      <c r="L325" s="58"/>
    </row>
    <row r="326" spans="1:12" ht="24" customHeight="1" thickBot="1" x14ac:dyDescent="0.35">
      <c r="A326" s="145" t="s">
        <v>155</v>
      </c>
      <c r="B326" s="146">
        <f t="shared" ref="B326:L326" si="4">SUM(B313:B324)</f>
        <v>883915851</v>
      </c>
      <c r="C326" s="146">
        <f t="shared" si="4"/>
        <v>90684257</v>
      </c>
      <c r="D326" s="146">
        <f t="shared" si="4"/>
        <v>31500780</v>
      </c>
      <c r="E326" s="146">
        <f t="shared" si="4"/>
        <v>2484689</v>
      </c>
      <c r="F326" s="146">
        <f t="shared" si="4"/>
        <v>1643499</v>
      </c>
      <c r="G326" s="146">
        <f t="shared" si="4"/>
        <v>348562</v>
      </c>
      <c r="H326" s="146">
        <f t="shared" si="4"/>
        <v>86384134</v>
      </c>
      <c r="I326" s="146">
        <f t="shared" si="4"/>
        <v>2094766</v>
      </c>
      <c r="J326" s="146">
        <f>SUM(J313:J325)</f>
        <v>403081</v>
      </c>
      <c r="K326" s="146">
        <f>SUM(K313:K325)</f>
        <v>106130</v>
      </c>
      <c r="L326" s="147">
        <f t="shared" si="4"/>
        <v>0</v>
      </c>
    </row>
    <row r="327" spans="1:12" s="149" customFormat="1" ht="24" customHeight="1" x14ac:dyDescent="0.3">
      <c r="A327" s="148"/>
      <c r="B327" s="148"/>
      <c r="C327" s="148"/>
      <c r="D327" s="148"/>
      <c r="E327" s="148"/>
      <c r="F327" s="148"/>
      <c r="G327" s="148"/>
      <c r="H327" s="148"/>
      <c r="I327" s="148"/>
      <c r="J327" s="148"/>
      <c r="K327" s="148"/>
      <c r="L327" s="148"/>
    </row>
    <row r="328" spans="1:12" ht="24" customHeight="1" x14ac:dyDescent="0.3">
      <c r="A328" s="56">
        <f>DATE(2018,1,1)</f>
        <v>43101</v>
      </c>
      <c r="B328" s="57">
        <v>73251579</v>
      </c>
      <c r="C328" s="57">
        <v>0</v>
      </c>
      <c r="D328" s="57">
        <v>1015315</v>
      </c>
      <c r="E328" s="57">
        <v>737003</v>
      </c>
      <c r="F328" s="57">
        <v>151261</v>
      </c>
      <c r="G328" s="57">
        <v>69559</v>
      </c>
      <c r="H328" s="57">
        <v>6933225</v>
      </c>
      <c r="I328" s="57">
        <v>136486</v>
      </c>
      <c r="J328" s="57">
        <v>0</v>
      </c>
      <c r="K328" s="57">
        <v>0</v>
      </c>
      <c r="L328" s="57" t="s">
        <v>137</v>
      </c>
    </row>
    <row r="329" spans="1:12" ht="24" customHeight="1" x14ac:dyDescent="0.3">
      <c r="A329" s="56">
        <f>DATE(2018,2,1)</f>
        <v>43132</v>
      </c>
      <c r="B329" s="57">
        <v>67860323</v>
      </c>
      <c r="C329" s="57">
        <v>0</v>
      </c>
      <c r="D329" s="57">
        <v>1015227</v>
      </c>
      <c r="E329" s="57">
        <v>332965</v>
      </c>
      <c r="F329" s="57">
        <v>145248</v>
      </c>
      <c r="G329" s="57">
        <v>50281</v>
      </c>
      <c r="H329" s="57">
        <v>6141987</v>
      </c>
      <c r="I329" s="57">
        <v>200513</v>
      </c>
      <c r="J329" s="57">
        <v>198058</v>
      </c>
      <c r="K329" s="57">
        <v>160292</v>
      </c>
      <c r="L329" s="57" t="s">
        <v>137</v>
      </c>
    </row>
    <row r="330" spans="1:12" ht="24" customHeight="1" x14ac:dyDescent="0.3">
      <c r="A330" s="56">
        <f>DATE(2018,3,1)</f>
        <v>43160</v>
      </c>
      <c r="B330" s="57">
        <v>78335026</v>
      </c>
      <c r="C330" s="57">
        <v>0</v>
      </c>
      <c r="D330" s="57">
        <v>1643915</v>
      </c>
      <c r="E330" s="57">
        <v>302226</v>
      </c>
      <c r="F330" s="57">
        <v>129662</v>
      </c>
      <c r="G330" s="57">
        <v>38609</v>
      </c>
      <c r="H330" s="57">
        <v>7732117</v>
      </c>
      <c r="I330" s="57">
        <v>237675</v>
      </c>
      <c r="J330" s="57">
        <v>0</v>
      </c>
      <c r="K330" s="57">
        <v>0</v>
      </c>
      <c r="L330" s="57" t="s">
        <v>137</v>
      </c>
    </row>
    <row r="331" spans="1:12" ht="24" customHeight="1" x14ac:dyDescent="0.3">
      <c r="A331" s="56">
        <f>DATE(2018,4,1)</f>
        <v>43191</v>
      </c>
      <c r="B331" s="57">
        <v>76486793</v>
      </c>
      <c r="C331" s="141">
        <v>10229547</v>
      </c>
      <c r="D331" s="57">
        <v>2589009</v>
      </c>
      <c r="E331" s="57">
        <v>169932</v>
      </c>
      <c r="F331" s="57">
        <v>146996</v>
      </c>
      <c r="G331" s="57">
        <v>26172</v>
      </c>
      <c r="H331" s="57">
        <v>7297438</v>
      </c>
      <c r="I331" s="57">
        <v>264527</v>
      </c>
      <c r="J331" s="57">
        <v>0</v>
      </c>
      <c r="K331" s="57">
        <v>0</v>
      </c>
      <c r="L331" s="57" t="s">
        <v>137</v>
      </c>
    </row>
    <row r="332" spans="1:12" ht="24" customHeight="1" x14ac:dyDescent="0.3">
      <c r="A332" s="56">
        <f>DATE(2018,5,1)</f>
        <v>43221</v>
      </c>
      <c r="B332" s="57">
        <v>83439648</v>
      </c>
      <c r="C332" s="57">
        <v>12662365</v>
      </c>
      <c r="D332" s="57">
        <v>4100735</v>
      </c>
      <c r="E332" s="57">
        <v>27169</v>
      </c>
      <c r="F332" s="57">
        <v>158341</v>
      </c>
      <c r="G332" s="57">
        <v>19745</v>
      </c>
      <c r="H332" s="57">
        <v>8356375</v>
      </c>
      <c r="I332" s="57">
        <v>203558</v>
      </c>
      <c r="J332" s="57">
        <v>121191</v>
      </c>
      <c r="K332" s="57">
        <v>1272</v>
      </c>
      <c r="L332" s="57" t="s">
        <v>137</v>
      </c>
    </row>
    <row r="333" spans="1:12" ht="24" customHeight="1" x14ac:dyDescent="0.3">
      <c r="A333" s="56">
        <f>DATE(2018,6,1)</f>
        <v>43252</v>
      </c>
      <c r="B333" s="57">
        <v>78776302</v>
      </c>
      <c r="C333" s="57">
        <v>10906059</v>
      </c>
      <c r="D333" s="142">
        <v>3459716</v>
      </c>
      <c r="E333" s="142">
        <v>22993</v>
      </c>
      <c r="F333" s="118">
        <v>135153</v>
      </c>
      <c r="G333" s="118">
        <v>21231</v>
      </c>
      <c r="H333" s="57">
        <v>7266966</v>
      </c>
      <c r="I333" s="118">
        <v>214383</v>
      </c>
      <c r="J333" s="57">
        <v>0</v>
      </c>
      <c r="K333" s="57">
        <v>0</v>
      </c>
      <c r="L333" s="57" t="s">
        <v>137</v>
      </c>
    </row>
    <row r="334" spans="1:12" ht="24" customHeight="1" x14ac:dyDescent="0.3">
      <c r="A334" s="56">
        <f>DATE(2018,7,1)</f>
        <v>43282</v>
      </c>
      <c r="B334" s="141">
        <v>77507201</v>
      </c>
      <c r="C334" s="57">
        <v>10366705</v>
      </c>
      <c r="D334" s="57">
        <v>2541080</v>
      </c>
      <c r="E334" s="57">
        <v>23176</v>
      </c>
      <c r="F334" s="57">
        <v>153581</v>
      </c>
      <c r="G334" s="141">
        <v>32420</v>
      </c>
      <c r="H334" s="57">
        <v>7616448</v>
      </c>
      <c r="I334" s="57">
        <v>161880</v>
      </c>
      <c r="J334" s="57">
        <v>14576</v>
      </c>
      <c r="K334" s="141">
        <v>15566</v>
      </c>
      <c r="L334" s="57" t="s">
        <v>137</v>
      </c>
    </row>
    <row r="335" spans="1:12" ht="24" customHeight="1" x14ac:dyDescent="0.3">
      <c r="A335" s="56">
        <f>DATE(2018,8,1)</f>
        <v>43313</v>
      </c>
      <c r="B335" s="57">
        <v>85596279</v>
      </c>
      <c r="C335" s="57">
        <v>11484277</v>
      </c>
      <c r="D335" s="57">
        <v>3079140</v>
      </c>
      <c r="E335" s="57">
        <v>56847</v>
      </c>
      <c r="F335" s="57">
        <v>150414</v>
      </c>
      <c r="G335" s="57">
        <v>11868</v>
      </c>
      <c r="H335" s="57">
        <v>8186008</v>
      </c>
      <c r="I335" s="57">
        <v>184956</v>
      </c>
      <c r="J335" s="57">
        <v>144230</v>
      </c>
      <c r="K335" s="57">
        <v>34897</v>
      </c>
      <c r="L335" s="57" t="s">
        <v>137</v>
      </c>
    </row>
    <row r="336" spans="1:12" ht="24" customHeight="1" x14ac:dyDescent="0.3">
      <c r="A336" s="56">
        <f>DATE(2018,9,1)</f>
        <v>43344</v>
      </c>
      <c r="B336" s="57">
        <v>77705663</v>
      </c>
      <c r="C336" s="57">
        <v>10833321</v>
      </c>
      <c r="D336" s="57">
        <v>3228013</v>
      </c>
      <c r="E336" s="57">
        <v>73850</v>
      </c>
      <c r="F336" s="57">
        <v>156335</v>
      </c>
      <c r="G336" s="57">
        <v>20464</v>
      </c>
      <c r="H336" s="57">
        <v>7354659</v>
      </c>
      <c r="I336" s="57">
        <v>124990</v>
      </c>
      <c r="J336" s="57">
        <v>15928</v>
      </c>
      <c r="K336" s="57">
        <v>12894</v>
      </c>
      <c r="L336" s="57" t="s">
        <v>137</v>
      </c>
    </row>
    <row r="337" spans="1:12" ht="24" customHeight="1" x14ac:dyDescent="0.3">
      <c r="A337" s="56">
        <f>DATE(2018,10,1)</f>
        <v>43374</v>
      </c>
      <c r="B337" s="57">
        <v>88778539</v>
      </c>
      <c r="C337" s="57">
        <v>13349247</v>
      </c>
      <c r="D337" s="57">
        <v>4312244</v>
      </c>
      <c r="E337" s="57">
        <v>361983</v>
      </c>
      <c r="F337" s="57">
        <v>159078</v>
      </c>
      <c r="G337" s="57">
        <v>33443</v>
      </c>
      <c r="H337" s="57">
        <v>8501762</v>
      </c>
      <c r="I337" s="57">
        <v>127013</v>
      </c>
      <c r="J337" s="57">
        <v>152576</v>
      </c>
      <c r="K337" s="57">
        <v>32404</v>
      </c>
      <c r="L337" s="57" t="s">
        <v>137</v>
      </c>
    </row>
    <row r="338" spans="1:12" ht="24" customHeight="1" x14ac:dyDescent="0.3">
      <c r="A338" s="56">
        <f>DATE(2018,11,1)</f>
        <v>43405</v>
      </c>
      <c r="B338" s="57">
        <v>78112576</v>
      </c>
      <c r="C338" s="57">
        <v>9429818</v>
      </c>
      <c r="D338" s="57">
        <v>1904929</v>
      </c>
      <c r="E338" s="57">
        <v>432755</v>
      </c>
      <c r="F338" s="57">
        <v>105776</v>
      </c>
      <c r="G338" s="57">
        <v>29838</v>
      </c>
      <c r="H338" s="57">
        <v>6937257</v>
      </c>
      <c r="I338" s="57">
        <v>208593</v>
      </c>
      <c r="J338" s="57">
        <v>0</v>
      </c>
      <c r="K338" s="57">
        <v>98469</v>
      </c>
      <c r="L338" s="57" t="s">
        <v>137</v>
      </c>
    </row>
    <row r="339" spans="1:12" ht="24" customHeight="1" x14ac:dyDescent="0.3">
      <c r="A339" s="56">
        <f>DATE(2018,12,1)</f>
        <v>43435</v>
      </c>
      <c r="B339" s="57">
        <v>72890255</v>
      </c>
      <c r="C339" s="57">
        <v>9325514</v>
      </c>
      <c r="D339" s="57">
        <v>1993508</v>
      </c>
      <c r="E339" s="57">
        <v>408276</v>
      </c>
      <c r="F339" s="57">
        <v>115565</v>
      </c>
      <c r="G339" s="57">
        <v>52409</v>
      </c>
      <c r="H339" s="57">
        <v>6755756</v>
      </c>
      <c r="I339" s="153">
        <v>108883</v>
      </c>
      <c r="J339" s="57">
        <v>16852</v>
      </c>
      <c r="K339" s="57">
        <v>5558</v>
      </c>
      <c r="L339" s="57" t="s">
        <v>137</v>
      </c>
    </row>
    <row r="340" spans="1:12" ht="24" customHeight="1" thickBot="1" x14ac:dyDescent="0.35">
      <c r="A340" s="150"/>
      <c r="B340" s="151"/>
      <c r="C340" s="151"/>
      <c r="D340" s="151"/>
      <c r="E340" s="151"/>
      <c r="F340" s="151"/>
      <c r="G340" s="151"/>
      <c r="H340" s="151"/>
      <c r="I340" s="151"/>
      <c r="J340" s="151"/>
      <c r="K340" s="151"/>
      <c r="L340" s="151"/>
    </row>
    <row r="341" spans="1:12" ht="24" customHeight="1" thickBot="1" x14ac:dyDescent="0.35">
      <c r="A341" s="98" t="s">
        <v>155</v>
      </c>
      <c r="B341" s="68">
        <f t="shared" ref="B341:L341" si="5">SUM(B328:B339)</f>
        <v>938740184</v>
      </c>
      <c r="C341" s="68">
        <f t="shared" si="5"/>
        <v>98586853</v>
      </c>
      <c r="D341" s="68">
        <f t="shared" si="5"/>
        <v>30882831</v>
      </c>
      <c r="E341" s="68">
        <f t="shared" si="5"/>
        <v>2949175</v>
      </c>
      <c r="F341" s="68">
        <f t="shared" si="5"/>
        <v>1707410</v>
      </c>
      <c r="G341" s="68">
        <f t="shared" si="5"/>
        <v>406039</v>
      </c>
      <c r="H341" s="68">
        <f t="shared" si="5"/>
        <v>89079998</v>
      </c>
      <c r="I341" s="68">
        <f t="shared" si="5"/>
        <v>2173457</v>
      </c>
      <c r="J341" s="68">
        <f t="shared" si="5"/>
        <v>663411</v>
      </c>
      <c r="K341" s="68">
        <f t="shared" si="5"/>
        <v>361352</v>
      </c>
      <c r="L341" s="69">
        <f t="shared" si="5"/>
        <v>0</v>
      </c>
    </row>
    <row r="342" spans="1:12" x14ac:dyDescent="0.3">
      <c r="A342" s="148"/>
      <c r="B342" s="148"/>
      <c r="C342" s="148"/>
      <c r="D342" s="148"/>
      <c r="E342" s="148"/>
      <c r="F342" s="148"/>
      <c r="G342" s="148"/>
      <c r="H342" s="148"/>
      <c r="I342" s="148"/>
      <c r="J342" s="148"/>
      <c r="K342" s="148"/>
      <c r="L342" s="148"/>
    </row>
    <row r="343" spans="1:12" ht="24" customHeight="1" x14ac:dyDescent="0.3">
      <c r="A343" s="56">
        <f>DATE(2019,1,1)</f>
        <v>43466</v>
      </c>
      <c r="B343" s="57">
        <v>79107417</v>
      </c>
      <c r="C343" s="57">
        <v>9604267</v>
      </c>
      <c r="D343" s="57">
        <v>1598518</v>
      </c>
      <c r="E343" s="57">
        <v>582416</v>
      </c>
      <c r="F343" s="57">
        <v>163914</v>
      </c>
      <c r="G343" s="57">
        <v>61782</v>
      </c>
      <c r="H343" s="57">
        <v>7197637</v>
      </c>
      <c r="I343" s="57">
        <v>92622</v>
      </c>
      <c r="J343" s="57">
        <v>0</v>
      </c>
      <c r="K343" s="57">
        <v>27337</v>
      </c>
      <c r="L343" s="57" t="s">
        <v>137</v>
      </c>
    </row>
    <row r="344" spans="1:12" ht="24" customHeight="1" x14ac:dyDescent="0.3">
      <c r="A344" s="56">
        <f>DATE(2019,2,1)</f>
        <v>43497</v>
      </c>
      <c r="B344" s="57">
        <v>70145971</v>
      </c>
      <c r="C344" s="57">
        <v>7981969</v>
      </c>
      <c r="D344" s="57">
        <v>929847</v>
      </c>
      <c r="E344" s="57">
        <v>377582</v>
      </c>
      <c r="F344" s="57">
        <v>107496</v>
      </c>
      <c r="G344" s="57">
        <v>39144</v>
      </c>
      <c r="H344" s="57">
        <v>6527900</v>
      </c>
      <c r="I344" s="57">
        <v>172075</v>
      </c>
      <c r="J344" s="57">
        <v>343539</v>
      </c>
      <c r="K344" s="57">
        <v>1898</v>
      </c>
      <c r="L344" s="57" t="s">
        <v>137</v>
      </c>
    </row>
    <row r="345" spans="1:12" ht="24" customHeight="1" x14ac:dyDescent="0.3">
      <c r="A345" s="56">
        <f>DATE(2019,3,1)</f>
        <v>43525</v>
      </c>
      <c r="B345" s="57">
        <v>80839543</v>
      </c>
      <c r="C345" s="57">
        <v>10051595</v>
      </c>
      <c r="D345" s="57">
        <v>1948969</v>
      </c>
      <c r="E345" s="57">
        <v>250108</v>
      </c>
      <c r="F345" s="57">
        <v>128674</v>
      </c>
      <c r="G345" s="57">
        <v>48099</v>
      </c>
      <c r="H345" s="57">
        <v>7675745</v>
      </c>
      <c r="I345" s="57">
        <v>101985</v>
      </c>
      <c r="J345" s="57">
        <v>160043</v>
      </c>
      <c r="K345" s="57">
        <v>0</v>
      </c>
      <c r="L345" s="57" t="s">
        <v>137</v>
      </c>
    </row>
    <row r="346" spans="1:12" ht="24" customHeight="1" x14ac:dyDescent="0.3">
      <c r="A346" s="56">
        <f>DATE(2019,4,1)</f>
        <v>43556</v>
      </c>
      <c r="B346" s="57">
        <v>79993260</v>
      </c>
      <c r="C346" s="141">
        <v>10419063</v>
      </c>
      <c r="D346" s="57">
        <v>2557815</v>
      </c>
      <c r="E346" s="57">
        <v>68389</v>
      </c>
      <c r="F346" s="57">
        <v>175347</v>
      </c>
      <c r="G346" s="57">
        <v>21286</v>
      </c>
      <c r="H346" s="57">
        <v>7596226</v>
      </c>
      <c r="I346" s="57">
        <v>138549</v>
      </c>
      <c r="J346" s="57">
        <v>65833</v>
      </c>
      <c r="K346" s="57">
        <v>0</v>
      </c>
      <c r="L346" s="57" t="s">
        <v>137</v>
      </c>
    </row>
    <row r="347" spans="1:12" ht="24" customHeight="1" x14ac:dyDescent="0.3">
      <c r="A347" s="56">
        <f>DATE(2019,5,1)</f>
        <v>43586</v>
      </c>
      <c r="B347" s="57">
        <v>84362055</v>
      </c>
      <c r="C347" s="57">
        <v>12506653</v>
      </c>
      <c r="D347" s="57">
        <v>3902713</v>
      </c>
      <c r="E347" s="57">
        <v>31749</v>
      </c>
      <c r="F347" s="57">
        <v>157374</v>
      </c>
      <c r="G347" s="57">
        <v>15659</v>
      </c>
      <c r="H347" s="57">
        <v>8399158</v>
      </c>
      <c r="I347" s="57">
        <v>275646</v>
      </c>
      <c r="J347" s="57">
        <v>0</v>
      </c>
      <c r="K347" s="57">
        <v>0</v>
      </c>
      <c r="L347" s="57" t="s">
        <v>137</v>
      </c>
    </row>
    <row r="348" spans="1:12" ht="24" customHeight="1" x14ac:dyDescent="0.3">
      <c r="A348" s="56">
        <f>DATE(2019,6,1)</f>
        <v>43617</v>
      </c>
      <c r="B348" s="57">
        <v>75961410</v>
      </c>
      <c r="C348" s="57">
        <v>9700776</v>
      </c>
      <c r="D348" s="142">
        <v>2963455</v>
      </c>
      <c r="E348" s="142">
        <v>16441</v>
      </c>
      <c r="F348" s="118">
        <v>141383</v>
      </c>
      <c r="G348" s="118">
        <v>20718</v>
      </c>
      <c r="H348" s="57">
        <v>6558779</v>
      </c>
      <c r="I348" s="118">
        <v>195161</v>
      </c>
      <c r="J348" s="57">
        <v>0</v>
      </c>
      <c r="K348" s="57">
        <v>0</v>
      </c>
      <c r="L348" s="57" t="s">
        <v>137</v>
      </c>
    </row>
    <row r="349" spans="1:12" ht="24" customHeight="1" x14ac:dyDescent="0.3">
      <c r="A349" s="56">
        <f>DATE(2019,7,1)</f>
        <v>43647</v>
      </c>
      <c r="B349" s="141">
        <v>80641669</v>
      </c>
      <c r="C349" s="57">
        <v>9960673</v>
      </c>
      <c r="D349" s="57">
        <v>2692235</v>
      </c>
      <c r="E349" s="57">
        <v>20320</v>
      </c>
      <c r="F349" s="57">
        <v>159559</v>
      </c>
      <c r="G349" s="141">
        <v>10464</v>
      </c>
      <c r="H349" s="57">
        <v>7078095</v>
      </c>
      <c r="I349" s="57">
        <v>147635</v>
      </c>
      <c r="J349" s="57">
        <v>14999</v>
      </c>
      <c r="K349" s="141">
        <v>8924</v>
      </c>
      <c r="L349" s="57" t="s">
        <v>137</v>
      </c>
    </row>
    <row r="350" spans="1:12" ht="24" customHeight="1" x14ac:dyDescent="0.3">
      <c r="A350" s="56">
        <f>DATE(2019,8,1)</f>
        <v>43678</v>
      </c>
      <c r="B350" s="57">
        <v>82836354</v>
      </c>
      <c r="C350" s="57">
        <v>10225939</v>
      </c>
      <c r="D350" s="57">
        <v>2778803</v>
      </c>
      <c r="E350" s="57">
        <v>58190</v>
      </c>
      <c r="F350" s="57">
        <v>149481</v>
      </c>
      <c r="G350" s="57">
        <v>27191</v>
      </c>
      <c r="H350" s="57">
        <v>7212274</v>
      </c>
      <c r="I350" s="57">
        <v>225626</v>
      </c>
      <c r="J350" s="57">
        <v>0</v>
      </c>
      <c r="K350" s="57">
        <v>23825</v>
      </c>
      <c r="L350" s="57" t="s">
        <v>137</v>
      </c>
    </row>
    <row r="351" spans="1:12" ht="24" customHeight="1" x14ac:dyDescent="0.3">
      <c r="A351" s="56">
        <f>DATE(2019,9,1)</f>
        <v>43709</v>
      </c>
      <c r="B351" s="57">
        <v>79680423</v>
      </c>
      <c r="C351" s="57">
        <v>11118052</v>
      </c>
      <c r="D351" s="57">
        <v>4411601</v>
      </c>
      <c r="E351" s="57">
        <v>80126</v>
      </c>
      <c r="F351" s="57">
        <v>149176</v>
      </c>
      <c r="G351" s="57">
        <v>20486</v>
      </c>
      <c r="H351" s="57">
        <v>6456663</v>
      </c>
      <c r="I351" s="57">
        <v>88120</v>
      </c>
      <c r="J351" s="57">
        <v>0</v>
      </c>
      <c r="K351" s="57">
        <v>4096</v>
      </c>
      <c r="L351" s="57" t="s">
        <v>137</v>
      </c>
    </row>
    <row r="352" spans="1:12" ht="24" customHeight="1" x14ac:dyDescent="0.3">
      <c r="A352" s="56">
        <f>DATE(2019,10,1)</f>
        <v>43739</v>
      </c>
      <c r="B352" s="57">
        <v>86798900</v>
      </c>
      <c r="C352" s="57">
        <v>11373040</v>
      </c>
      <c r="D352" s="57">
        <v>3693381</v>
      </c>
      <c r="E352" s="57">
        <v>312775</v>
      </c>
      <c r="F352" s="57">
        <v>136940</v>
      </c>
      <c r="G352" s="57">
        <v>26488</v>
      </c>
      <c r="H352" s="57">
        <v>7203456</v>
      </c>
      <c r="I352" s="57">
        <v>126687</v>
      </c>
      <c r="J352" s="57">
        <v>0</v>
      </c>
      <c r="K352" s="57">
        <v>230993</v>
      </c>
      <c r="L352" s="57" t="s">
        <v>137</v>
      </c>
    </row>
    <row r="353" spans="1:12" ht="24" customHeight="1" x14ac:dyDescent="0.3">
      <c r="A353" s="56">
        <f>DATE(2019,11,1)</f>
        <v>43770</v>
      </c>
      <c r="B353" s="57">
        <v>76189764</v>
      </c>
      <c r="C353" s="57">
        <v>7278437</v>
      </c>
      <c r="D353" s="57">
        <v>1493718</v>
      </c>
      <c r="E353" s="57">
        <v>363877</v>
      </c>
      <c r="F353" s="57">
        <v>88629</v>
      </c>
      <c r="G353" s="57">
        <v>33883</v>
      </c>
      <c r="H353" s="57">
        <v>5298330</v>
      </c>
      <c r="I353" s="57">
        <v>170675</v>
      </c>
      <c r="J353" s="57">
        <v>0</v>
      </c>
      <c r="K353" s="57">
        <v>7026</v>
      </c>
      <c r="L353" s="57" t="s">
        <v>137</v>
      </c>
    </row>
    <row r="354" spans="1:12" ht="24" customHeight="1" x14ac:dyDescent="0.3">
      <c r="A354" s="56">
        <f>DATE(2019,12,1)</f>
        <v>43800</v>
      </c>
      <c r="B354" s="57">
        <v>72721237</v>
      </c>
      <c r="C354" s="57">
        <v>7487080</v>
      </c>
      <c r="D354" s="57">
        <v>1338680</v>
      </c>
      <c r="E354" s="57">
        <v>335669</v>
      </c>
      <c r="F354" s="57">
        <v>105518</v>
      </c>
      <c r="G354" s="57">
        <v>60177</v>
      </c>
      <c r="H354" s="57">
        <v>5647036</v>
      </c>
      <c r="I354" s="57">
        <v>75824</v>
      </c>
      <c r="J354" s="57">
        <v>15944</v>
      </c>
      <c r="K354" s="57">
        <v>0</v>
      </c>
      <c r="L354" s="57" t="s">
        <v>137</v>
      </c>
    </row>
    <row r="355" spans="1:12" ht="15" thickBot="1" x14ac:dyDescent="0.35">
      <c r="A355" s="150"/>
      <c r="B355" s="151"/>
      <c r="C355" s="151"/>
      <c r="D355" s="151"/>
      <c r="E355" s="151"/>
      <c r="F355" s="151"/>
      <c r="G355" s="151"/>
      <c r="H355" s="151"/>
      <c r="I355" s="151"/>
      <c r="J355" s="151"/>
      <c r="K355" s="151"/>
      <c r="L355" s="151"/>
    </row>
    <row r="356" spans="1:12" ht="15" thickBot="1" x14ac:dyDescent="0.35">
      <c r="A356" s="98" t="s">
        <v>155</v>
      </c>
      <c r="B356" s="68">
        <f t="shared" ref="B356:L356" si="6">SUM(B343:B354)</f>
        <v>949278003</v>
      </c>
      <c r="C356" s="68">
        <f t="shared" si="6"/>
        <v>117707544</v>
      </c>
      <c r="D356" s="68">
        <f t="shared" si="6"/>
        <v>30309735</v>
      </c>
      <c r="E356" s="68">
        <f t="shared" si="6"/>
        <v>2497642</v>
      </c>
      <c r="F356" s="68">
        <f t="shared" si="6"/>
        <v>1663491</v>
      </c>
      <c r="G356" s="68">
        <f t="shared" si="6"/>
        <v>385377</v>
      </c>
      <c r="H356" s="68">
        <f t="shared" si="6"/>
        <v>82851299</v>
      </c>
      <c r="I356" s="68">
        <f t="shared" si="6"/>
        <v>1810605</v>
      </c>
      <c r="J356" s="68">
        <f t="shared" si="6"/>
        <v>600358</v>
      </c>
      <c r="K356" s="68">
        <f t="shared" si="6"/>
        <v>304099</v>
      </c>
      <c r="L356" s="69">
        <f t="shared" si="6"/>
        <v>0</v>
      </c>
    </row>
    <row r="357" spans="1:12" ht="24" customHeight="1" x14ac:dyDescent="0.3">
      <c r="A357" s="56">
        <f>DATE(2020,1,1)</f>
        <v>43831</v>
      </c>
      <c r="B357" s="57">
        <v>77851433</v>
      </c>
      <c r="C357" s="57">
        <v>8230001</v>
      </c>
      <c r="D357" s="57">
        <v>1571829</v>
      </c>
      <c r="E357" s="57">
        <v>422628</v>
      </c>
      <c r="F357" s="57">
        <v>120112</v>
      </c>
      <c r="G357" s="57">
        <v>45734</v>
      </c>
      <c r="H357" s="57">
        <v>6069698</v>
      </c>
      <c r="I357" s="57">
        <v>195560</v>
      </c>
      <c r="J357" s="57">
        <v>0</v>
      </c>
      <c r="K357" s="57">
        <v>22795</v>
      </c>
      <c r="L357" s="57" t="s">
        <v>137</v>
      </c>
    </row>
    <row r="358" spans="1:12" ht="24" customHeight="1" x14ac:dyDescent="0.3">
      <c r="A358" s="56">
        <f>DATE(2020,2,1)</f>
        <v>43862</v>
      </c>
      <c r="B358" s="57">
        <v>70247382</v>
      </c>
      <c r="C358" s="57">
        <v>6532792</v>
      </c>
      <c r="D358" s="57">
        <v>1349099</v>
      </c>
      <c r="E358" s="57">
        <v>339048</v>
      </c>
      <c r="F358" s="57">
        <v>96043</v>
      </c>
      <c r="G358" s="57">
        <v>31478</v>
      </c>
      <c r="H358" s="57">
        <v>4717124</v>
      </c>
      <c r="I358" s="57">
        <v>178415</v>
      </c>
      <c r="J358" s="57">
        <v>13834</v>
      </c>
      <c r="K358" s="57">
        <v>745</v>
      </c>
      <c r="L358" s="57" t="s">
        <v>137</v>
      </c>
    </row>
    <row r="359" spans="1:12" ht="24" customHeight="1" x14ac:dyDescent="0.3">
      <c r="A359" s="56">
        <f>DATE(2020,3,1)</f>
        <v>43891</v>
      </c>
      <c r="B359" s="57">
        <v>77574666</v>
      </c>
      <c r="C359" s="57">
        <v>9188124</v>
      </c>
      <c r="D359" s="57">
        <v>3276344</v>
      </c>
      <c r="E359" s="57">
        <v>264682</v>
      </c>
      <c r="F359" s="57">
        <v>105491</v>
      </c>
      <c r="G359" s="57">
        <v>30405</v>
      </c>
      <c r="H359" s="57">
        <v>5511202</v>
      </c>
      <c r="I359" s="57">
        <v>140703</v>
      </c>
      <c r="J359" s="57">
        <v>0</v>
      </c>
      <c r="K359" s="57">
        <v>745</v>
      </c>
      <c r="L359" s="57" t="s">
        <v>137</v>
      </c>
    </row>
    <row r="360" spans="1:12" ht="24" customHeight="1" x14ac:dyDescent="0.3">
      <c r="A360" s="56">
        <f>DATE(2020,4,1)</f>
        <v>43922</v>
      </c>
      <c r="B360" s="57">
        <v>69556879</v>
      </c>
      <c r="C360" s="141">
        <v>10291682</v>
      </c>
      <c r="D360" s="57">
        <v>3960119</v>
      </c>
      <c r="E360" s="57">
        <v>206029</v>
      </c>
      <c r="F360" s="57">
        <v>123154</v>
      </c>
      <c r="G360" s="57">
        <v>22300</v>
      </c>
      <c r="H360" s="57">
        <v>5980080</v>
      </c>
      <c r="I360" s="57">
        <v>41908</v>
      </c>
      <c r="J360" s="57">
        <v>0</v>
      </c>
      <c r="K360" s="57">
        <v>4600</v>
      </c>
      <c r="L360" s="57" t="s">
        <v>137</v>
      </c>
    </row>
    <row r="361" spans="1:12" ht="24" customHeight="1" x14ac:dyDescent="0.3">
      <c r="A361" s="56">
        <f>DATE(2020,5,1)</f>
        <v>43952</v>
      </c>
      <c r="B361" s="57">
        <v>65552915</v>
      </c>
      <c r="C361" s="57">
        <v>8481834</v>
      </c>
      <c r="D361" s="57">
        <v>2978089</v>
      </c>
      <c r="E361" s="57">
        <v>114500</v>
      </c>
      <c r="F361" s="57">
        <v>89188</v>
      </c>
      <c r="G361" s="57">
        <v>15863</v>
      </c>
      <c r="H361" s="57">
        <v>5284194</v>
      </c>
      <c r="I361" s="57">
        <v>210279</v>
      </c>
      <c r="J361" s="57">
        <v>13254</v>
      </c>
      <c r="K361" s="57">
        <v>2498</v>
      </c>
      <c r="L361" s="57" t="s">
        <v>137</v>
      </c>
    </row>
    <row r="362" spans="1:12" ht="24" customHeight="1" x14ac:dyDescent="0.3">
      <c r="A362" s="56">
        <f>DATE(2020,6,1)</f>
        <v>43983</v>
      </c>
      <c r="B362" s="57">
        <v>78779376</v>
      </c>
      <c r="C362" s="57">
        <v>10805298</v>
      </c>
      <c r="D362" s="142">
        <v>3843163</v>
      </c>
      <c r="E362" s="142">
        <v>27450</v>
      </c>
      <c r="F362" s="118">
        <v>139397</v>
      </c>
      <c r="G362" s="118">
        <v>17272</v>
      </c>
      <c r="H362" s="57">
        <v>6778016</v>
      </c>
      <c r="I362" s="118">
        <v>218772</v>
      </c>
      <c r="J362" s="57">
        <v>0</v>
      </c>
      <c r="K362" s="57">
        <v>0</v>
      </c>
      <c r="L362" s="57" t="s">
        <v>137</v>
      </c>
    </row>
    <row r="363" spans="1:12" ht="24" customHeight="1" x14ac:dyDescent="0.3">
      <c r="A363" s="56">
        <f>DATE(2020,7,1)</f>
        <v>44013</v>
      </c>
      <c r="B363" s="141">
        <v>78020563</v>
      </c>
      <c r="C363" s="57">
        <v>9075752</v>
      </c>
      <c r="D363" s="57">
        <v>2155993</v>
      </c>
      <c r="E363" s="57">
        <v>22083</v>
      </c>
      <c r="F363" s="57">
        <v>129032</v>
      </c>
      <c r="G363" s="141">
        <v>10720</v>
      </c>
      <c r="H363" s="57">
        <v>6757924</v>
      </c>
      <c r="I363" s="57">
        <v>151054</v>
      </c>
      <c r="J363" s="57">
        <v>0</v>
      </c>
      <c r="K363" s="141">
        <v>43649</v>
      </c>
      <c r="L363" s="57" t="s">
        <v>137</v>
      </c>
    </row>
    <row r="364" spans="1:12" ht="24" customHeight="1" x14ac:dyDescent="0.3">
      <c r="A364" s="56">
        <f>DATE(2020,8,1)</f>
        <v>44044</v>
      </c>
      <c r="B364" s="57">
        <v>79197861</v>
      </c>
      <c r="C364" s="57">
        <v>8647689</v>
      </c>
      <c r="D364" s="57">
        <v>2442546</v>
      </c>
      <c r="E364" s="57">
        <v>34748</v>
      </c>
      <c r="F364" s="57">
        <v>118532</v>
      </c>
      <c r="G364" s="57">
        <v>39718</v>
      </c>
      <c r="H364" s="57">
        <v>6012145</v>
      </c>
      <c r="I364" s="57">
        <v>112005</v>
      </c>
      <c r="J364" s="57">
        <v>0</v>
      </c>
      <c r="K364" s="57">
        <v>34358</v>
      </c>
      <c r="L364" s="57" t="s">
        <v>137</v>
      </c>
    </row>
    <row r="365" spans="1:12" ht="24" customHeight="1" x14ac:dyDescent="0.3">
      <c r="A365" s="56">
        <f>DATE(2020,9,1)</f>
        <v>44075</v>
      </c>
      <c r="B365" s="57">
        <v>83866005</v>
      </c>
      <c r="C365" s="57">
        <v>10450571</v>
      </c>
      <c r="D365" s="57">
        <v>3781749</v>
      </c>
      <c r="E365" s="57">
        <v>101355</v>
      </c>
      <c r="F365" s="57">
        <v>130572</v>
      </c>
      <c r="G365" s="57">
        <v>29855</v>
      </c>
      <c r="H365" s="57">
        <v>6407040</v>
      </c>
      <c r="I365" s="57">
        <v>114426</v>
      </c>
      <c r="J365" s="57">
        <v>0</v>
      </c>
      <c r="K365" s="57">
        <v>0</v>
      </c>
      <c r="L365" s="57" t="s">
        <v>137</v>
      </c>
    </row>
    <row r="366" spans="1:12" ht="24" customHeight="1" x14ac:dyDescent="0.3">
      <c r="A366" s="56">
        <f>DATE(2020,10,1)</f>
        <v>44105</v>
      </c>
      <c r="B366" s="57">
        <v>86260682</v>
      </c>
      <c r="C366" s="57">
        <v>10360136</v>
      </c>
      <c r="D366" s="57">
        <v>3618498</v>
      </c>
      <c r="E366" s="57">
        <v>212279</v>
      </c>
      <c r="F366" s="57">
        <v>99872</v>
      </c>
      <c r="G366" s="57">
        <v>29046</v>
      </c>
      <c r="H366" s="57">
        <v>6400441</v>
      </c>
      <c r="I366" s="57">
        <v>130132</v>
      </c>
      <c r="J366" s="57">
        <v>36106</v>
      </c>
      <c r="K366" s="57">
        <v>123200</v>
      </c>
      <c r="L366" s="57" t="s">
        <v>137</v>
      </c>
    </row>
    <row r="367" spans="1:12" ht="24" customHeight="1" x14ac:dyDescent="0.3">
      <c r="A367" s="56">
        <f>DATE(2020,11,1)</f>
        <v>44136</v>
      </c>
      <c r="B367" s="57">
        <v>79153194</v>
      </c>
      <c r="C367" s="57">
        <v>9322177</v>
      </c>
      <c r="D367" s="57">
        <v>3174790</v>
      </c>
      <c r="E367" s="57">
        <v>195831</v>
      </c>
      <c r="F367" s="57">
        <v>91153</v>
      </c>
      <c r="G367" s="57">
        <v>15077</v>
      </c>
      <c r="H367" s="57">
        <v>5845326</v>
      </c>
      <c r="I367" s="57">
        <v>133454</v>
      </c>
      <c r="J367" s="57">
        <v>0</v>
      </c>
      <c r="K367" s="57">
        <v>5384</v>
      </c>
      <c r="L367" s="57" t="s">
        <v>137</v>
      </c>
    </row>
    <row r="368" spans="1:12" ht="24" customHeight="1" x14ac:dyDescent="0.3">
      <c r="A368" s="56">
        <f>DATE(2020,12,1)</f>
        <v>44166</v>
      </c>
      <c r="B368" s="57">
        <v>81336172</v>
      </c>
      <c r="C368" s="57">
        <v>8904438</v>
      </c>
      <c r="D368" s="57">
        <v>1844507</v>
      </c>
      <c r="E368" s="57">
        <v>377234</v>
      </c>
      <c r="F368" s="57">
        <v>116566</v>
      </c>
      <c r="G368" s="57">
        <v>39523</v>
      </c>
      <c r="H368" s="57">
        <v>6526608</v>
      </c>
      <c r="I368" s="57">
        <v>183384</v>
      </c>
      <c r="J368" s="57">
        <v>16594</v>
      </c>
      <c r="K368" s="57">
        <v>7942</v>
      </c>
      <c r="L368" s="57" t="s">
        <v>137</v>
      </c>
    </row>
    <row r="369" spans="1:12" ht="15" thickBot="1" x14ac:dyDescent="0.35">
      <c r="A369" s="150"/>
      <c r="B369" s="151"/>
      <c r="C369" s="151"/>
      <c r="D369" s="151"/>
      <c r="E369" s="151"/>
      <c r="F369" s="151"/>
      <c r="G369" s="151"/>
      <c r="H369" s="151"/>
      <c r="I369" s="151"/>
      <c r="J369" s="151"/>
      <c r="K369" s="151"/>
      <c r="L369" s="151"/>
    </row>
    <row r="370" spans="1:12" ht="15" thickBot="1" x14ac:dyDescent="0.35">
      <c r="A370" s="98" t="s">
        <v>155</v>
      </c>
      <c r="B370" s="68">
        <f t="shared" ref="B370:L370" si="7">SUM(B357:B368)</f>
        <v>927397128</v>
      </c>
      <c r="C370" s="68">
        <f t="shared" si="7"/>
        <v>110290494</v>
      </c>
      <c r="D370" s="68">
        <f t="shared" si="7"/>
        <v>33996726</v>
      </c>
      <c r="E370" s="68">
        <f t="shared" si="7"/>
        <v>2317867</v>
      </c>
      <c r="F370" s="68">
        <f t="shared" si="7"/>
        <v>1359112</v>
      </c>
      <c r="G370" s="68">
        <f t="shared" si="7"/>
        <v>326991</v>
      </c>
      <c r="H370" s="68">
        <f t="shared" si="7"/>
        <v>72289798</v>
      </c>
      <c r="I370" s="68">
        <f t="shared" si="7"/>
        <v>1810092</v>
      </c>
      <c r="J370" s="68">
        <f t="shared" si="7"/>
        <v>79788</v>
      </c>
      <c r="K370" s="68">
        <f t="shared" si="7"/>
        <v>245916</v>
      </c>
      <c r="L370" s="69">
        <f t="shared" si="7"/>
        <v>0</v>
      </c>
    </row>
    <row r="371" spans="1:12" ht="24" customHeight="1" x14ac:dyDescent="0.3">
      <c r="A371" s="56">
        <f>DATE(2021,1,1)</f>
        <v>44197</v>
      </c>
      <c r="B371" s="57">
        <v>78226388</v>
      </c>
      <c r="C371" s="57">
        <v>8272921</v>
      </c>
      <c r="D371" s="57">
        <v>2055666</v>
      </c>
      <c r="E371" s="57">
        <v>443472</v>
      </c>
      <c r="F371" s="57">
        <v>102690</v>
      </c>
      <c r="G371" s="57">
        <v>38637</v>
      </c>
      <c r="H371" s="57">
        <v>5632456</v>
      </c>
      <c r="I371" s="57">
        <v>214541</v>
      </c>
      <c r="J371" s="57">
        <v>0</v>
      </c>
      <c r="K371" s="57">
        <v>26800</v>
      </c>
      <c r="L371" s="57" t="s">
        <v>137</v>
      </c>
    </row>
    <row r="372" spans="1:12" ht="24" customHeight="1" x14ac:dyDescent="0.3">
      <c r="A372" s="56">
        <f>DATE(2021,2,1)</f>
        <v>44228</v>
      </c>
      <c r="B372" s="57">
        <v>71059499</v>
      </c>
      <c r="C372" s="57">
        <v>7144486</v>
      </c>
      <c r="D372" s="57">
        <v>1289202</v>
      </c>
      <c r="E372" s="57">
        <v>507511</v>
      </c>
      <c r="F372" s="57">
        <v>160344</v>
      </c>
      <c r="G372" s="57">
        <v>56179</v>
      </c>
      <c r="H372" s="57">
        <v>5131250</v>
      </c>
      <c r="I372" s="57">
        <v>134700</v>
      </c>
      <c r="J372" s="57">
        <v>14934</v>
      </c>
      <c r="K372" s="57">
        <v>3780</v>
      </c>
      <c r="L372" s="57" t="s">
        <v>137</v>
      </c>
    </row>
    <row r="373" spans="1:12" ht="24" customHeight="1" x14ac:dyDescent="0.3">
      <c r="A373" s="56">
        <f>DATE(2021,3,1)</f>
        <v>44256</v>
      </c>
      <c r="B373" s="57">
        <v>89795691</v>
      </c>
      <c r="C373" s="57">
        <v>8778327</v>
      </c>
      <c r="D373" s="57">
        <v>2036780</v>
      </c>
      <c r="E373" s="57">
        <v>178288</v>
      </c>
      <c r="F373" s="57">
        <v>111834</v>
      </c>
      <c r="G373" s="57">
        <v>14183</v>
      </c>
      <c r="H373" s="57">
        <v>6437242</v>
      </c>
      <c r="I373" s="57">
        <v>135918</v>
      </c>
      <c r="J373" s="57">
        <v>14934</v>
      </c>
      <c r="K373" s="57">
        <v>0</v>
      </c>
      <c r="L373" s="57" t="s">
        <v>137</v>
      </c>
    </row>
    <row r="374" spans="1:12" ht="24" customHeight="1" x14ac:dyDescent="0.3">
      <c r="A374" s="56">
        <f>DATE(2021,4,1)</f>
        <v>44287</v>
      </c>
      <c r="B374" s="57">
        <v>85264126</v>
      </c>
      <c r="C374" s="141">
        <v>9359194</v>
      </c>
      <c r="D374" s="57">
        <v>2834926</v>
      </c>
      <c r="E374" s="57">
        <v>90479</v>
      </c>
      <c r="F374" s="57">
        <v>118341</v>
      </c>
      <c r="G374" s="57">
        <v>15207</v>
      </c>
      <c r="H374" s="57">
        <v>6300241</v>
      </c>
      <c r="I374" s="57">
        <v>116279</v>
      </c>
      <c r="J374" s="57">
        <v>22103</v>
      </c>
      <c r="K374" s="57">
        <v>3001</v>
      </c>
      <c r="L374" s="57" t="s">
        <v>137</v>
      </c>
    </row>
    <row r="375" spans="1:12" ht="24" customHeight="1" x14ac:dyDescent="0.3">
      <c r="A375" s="56">
        <f>DATE(2021,5,1)</f>
        <v>44317</v>
      </c>
      <c r="B375" s="57">
        <v>86682032</v>
      </c>
      <c r="C375" s="57">
        <v>9314969</v>
      </c>
      <c r="D375" s="57">
        <v>3102183</v>
      </c>
      <c r="E375" s="57">
        <v>45686</v>
      </c>
      <c r="F375" s="57">
        <v>126375</v>
      </c>
      <c r="G375" s="57">
        <v>9292</v>
      </c>
      <c r="H375" s="57">
        <v>6031433</v>
      </c>
      <c r="I375" s="57">
        <v>248965</v>
      </c>
      <c r="J375" s="57">
        <v>12195</v>
      </c>
      <c r="K375" s="57">
        <v>0</v>
      </c>
      <c r="L375" s="57" t="s">
        <v>137</v>
      </c>
    </row>
    <row r="376" spans="1:12" ht="24" customHeight="1" x14ac:dyDescent="0.3">
      <c r="A376" s="56">
        <f>DATE(2021,6,1)</f>
        <v>44348</v>
      </c>
      <c r="B376" s="57">
        <v>86568660</v>
      </c>
      <c r="C376" s="57">
        <v>10122521</v>
      </c>
      <c r="D376" s="142">
        <v>3294499</v>
      </c>
      <c r="E376" s="142">
        <v>25454</v>
      </c>
      <c r="F376" s="118">
        <v>155087</v>
      </c>
      <c r="G376" s="118">
        <v>7841</v>
      </c>
      <c r="H376" s="57">
        <v>6639640</v>
      </c>
      <c r="I376" s="118">
        <v>176614</v>
      </c>
      <c r="J376" s="57">
        <v>0</v>
      </c>
      <c r="K376" s="57">
        <v>0</v>
      </c>
      <c r="L376" s="57" t="s">
        <v>137</v>
      </c>
    </row>
    <row r="377" spans="1:12" ht="24" customHeight="1" x14ac:dyDescent="0.3">
      <c r="A377" s="56">
        <f>DATE(2021,7,1)</f>
        <v>44378</v>
      </c>
      <c r="B377" s="141">
        <v>83321914</v>
      </c>
      <c r="C377" s="57">
        <v>8785221</v>
      </c>
      <c r="D377" s="57">
        <v>2317356</v>
      </c>
      <c r="E377" s="57">
        <v>20828</v>
      </c>
      <c r="F377" s="57">
        <v>136671</v>
      </c>
      <c r="G377" s="141">
        <v>8349</v>
      </c>
      <c r="H377" s="57">
        <v>6302017</v>
      </c>
      <c r="I377" s="57">
        <v>227670</v>
      </c>
      <c r="J377" s="57">
        <v>0</v>
      </c>
      <c r="K377" s="141">
        <v>50406</v>
      </c>
      <c r="L377" s="57" t="s">
        <v>137</v>
      </c>
    </row>
    <row r="378" spans="1:12" ht="24" customHeight="1" x14ac:dyDescent="0.3">
      <c r="A378" s="56">
        <f>DATE(2021,8,1)</f>
        <v>44409</v>
      </c>
      <c r="B378" s="57">
        <v>88034529</v>
      </c>
      <c r="C378" s="57">
        <v>9649791</v>
      </c>
      <c r="D378" s="57">
        <v>2589257</v>
      </c>
      <c r="E378" s="57">
        <v>43871</v>
      </c>
      <c r="F378" s="57">
        <v>152332</v>
      </c>
      <c r="G378" s="57">
        <v>89295</v>
      </c>
      <c r="H378" s="57">
        <v>6775036</v>
      </c>
      <c r="I378" s="57">
        <v>103868</v>
      </c>
      <c r="J378" s="57">
        <v>0</v>
      </c>
      <c r="K378" s="57">
        <v>0</v>
      </c>
      <c r="L378" s="57" t="s">
        <v>137</v>
      </c>
    </row>
    <row r="379" spans="1:12" ht="24" customHeight="1" x14ac:dyDescent="0.3">
      <c r="A379" s="56">
        <f>DATE(2021,9,1)</f>
        <v>44440</v>
      </c>
      <c r="B379" s="57">
        <v>84718524</v>
      </c>
      <c r="C379" s="57">
        <v>10056054</v>
      </c>
      <c r="D379" s="57">
        <v>3596938</v>
      </c>
      <c r="E379" s="57">
        <v>50514</v>
      </c>
      <c r="F379" s="57">
        <v>127687</v>
      </c>
      <c r="G379" s="57">
        <v>7715</v>
      </c>
      <c r="H379" s="57">
        <v>6273200</v>
      </c>
      <c r="I379" s="57">
        <v>121497</v>
      </c>
      <c r="J379" s="57">
        <v>10222</v>
      </c>
      <c r="K379" s="57">
        <v>0</v>
      </c>
      <c r="L379" s="57" t="s">
        <v>137</v>
      </c>
    </row>
    <row r="380" spans="1:12" ht="24" customHeight="1" x14ac:dyDescent="0.3">
      <c r="A380" s="56">
        <f>DATE(2021,10,1)</f>
        <v>44470</v>
      </c>
      <c r="B380" s="57">
        <v>88140536</v>
      </c>
      <c r="C380" s="57">
        <v>11141544</v>
      </c>
      <c r="D380" s="57">
        <v>4257898</v>
      </c>
      <c r="E380" s="57">
        <v>240175</v>
      </c>
      <c r="F380" s="57">
        <v>115878</v>
      </c>
      <c r="G380" s="57">
        <v>26854</v>
      </c>
      <c r="H380" s="57">
        <v>6500739</v>
      </c>
      <c r="I380" s="57">
        <v>86995</v>
      </c>
      <c r="J380" s="57">
        <v>0</v>
      </c>
      <c r="K380" s="57">
        <v>159756</v>
      </c>
      <c r="L380" s="57" t="s">
        <v>137</v>
      </c>
    </row>
    <row r="381" spans="1:12" ht="24" customHeight="1" x14ac:dyDescent="0.3">
      <c r="A381" s="56">
        <f>DATE(2021,11,1)</f>
        <v>44501</v>
      </c>
      <c r="B381" s="57">
        <v>87299965</v>
      </c>
      <c r="C381" s="57">
        <v>9898230</v>
      </c>
      <c r="D381" s="57">
        <v>3030436</v>
      </c>
      <c r="E381" s="57">
        <v>156285</v>
      </c>
      <c r="F381" s="57">
        <v>109623</v>
      </c>
      <c r="G381" s="57">
        <v>24933</v>
      </c>
      <c r="H381" s="57">
        <v>6576953</v>
      </c>
      <c r="I381" s="57">
        <v>120606</v>
      </c>
      <c r="J381" s="57">
        <v>0</v>
      </c>
      <c r="K381" s="57">
        <v>5816</v>
      </c>
      <c r="L381" s="57" t="s">
        <v>137</v>
      </c>
    </row>
    <row r="382" spans="1:12" ht="24" customHeight="1" x14ac:dyDescent="0.3">
      <c r="A382" s="56">
        <f>DATE(2021,12,1)</f>
        <v>44531</v>
      </c>
      <c r="B382" s="57">
        <v>88622555</v>
      </c>
      <c r="C382" s="57">
        <v>9966795</v>
      </c>
      <c r="D382" s="57">
        <v>1883542</v>
      </c>
      <c r="E382" s="57">
        <v>249496</v>
      </c>
      <c r="F382" s="57">
        <v>154018</v>
      </c>
      <c r="G382" s="57">
        <v>26146</v>
      </c>
      <c r="H382" s="57">
        <v>7653593</v>
      </c>
      <c r="I382" s="57">
        <v>170949</v>
      </c>
      <c r="J382" s="57">
        <v>12473</v>
      </c>
      <c r="K382" s="57">
        <v>500</v>
      </c>
      <c r="L382" s="57" t="s">
        <v>137</v>
      </c>
    </row>
    <row r="383" spans="1:12" ht="15" thickBot="1" x14ac:dyDescent="0.35">
      <c r="A383" s="150"/>
      <c r="B383" s="151"/>
      <c r="C383" s="151"/>
      <c r="D383" s="151"/>
      <c r="E383" s="151"/>
      <c r="F383" s="151"/>
      <c r="G383" s="151"/>
      <c r="H383" s="151"/>
      <c r="I383" s="151"/>
      <c r="J383" s="151"/>
      <c r="K383" s="151"/>
      <c r="L383" s="151"/>
    </row>
    <row r="384" spans="1:12" ht="15" thickBot="1" x14ac:dyDescent="0.35">
      <c r="A384" s="98" t="s">
        <v>155</v>
      </c>
      <c r="B384" s="68">
        <f t="shared" ref="B384:L384" si="8">SUM(B371:B382)</f>
        <v>1017734419</v>
      </c>
      <c r="C384" s="68">
        <f t="shared" si="8"/>
        <v>112490053</v>
      </c>
      <c r="D384" s="68">
        <f t="shared" si="8"/>
        <v>32288683</v>
      </c>
      <c r="E384" s="68">
        <f t="shared" si="8"/>
        <v>2052059</v>
      </c>
      <c r="F384" s="68">
        <f t="shared" si="8"/>
        <v>1570880</v>
      </c>
      <c r="G384" s="68">
        <f t="shared" si="8"/>
        <v>324631</v>
      </c>
      <c r="H384" s="68">
        <f t="shared" si="8"/>
        <v>76253800</v>
      </c>
      <c r="I384" s="68">
        <f t="shared" si="8"/>
        <v>1858602</v>
      </c>
      <c r="J384" s="68">
        <f t="shared" si="8"/>
        <v>86861</v>
      </c>
      <c r="K384" s="68">
        <f t="shared" si="8"/>
        <v>250059</v>
      </c>
      <c r="L384" s="69">
        <f t="shared" si="8"/>
        <v>0</v>
      </c>
    </row>
    <row r="385" spans="1:12" ht="24" customHeight="1" x14ac:dyDescent="0.3">
      <c r="A385" s="56">
        <f>DATE(2022,1,1)</f>
        <v>44562</v>
      </c>
      <c r="B385" s="57">
        <v>79708199</v>
      </c>
      <c r="C385" s="57">
        <v>7576621</v>
      </c>
      <c r="D385" s="57">
        <v>1158490</v>
      </c>
      <c r="E385" s="57">
        <v>429814</v>
      </c>
      <c r="F385" s="57">
        <v>232744</v>
      </c>
      <c r="G385" s="57">
        <v>32265</v>
      </c>
      <c r="H385" s="57">
        <v>5723308</v>
      </c>
      <c r="I385" s="57">
        <v>106192</v>
      </c>
      <c r="J385" s="57">
        <v>0</v>
      </c>
      <c r="K385" s="57">
        <v>51193</v>
      </c>
      <c r="L385" s="57" t="s">
        <v>137</v>
      </c>
    </row>
    <row r="386" spans="1:12" ht="24" customHeight="1" x14ac:dyDescent="0.3">
      <c r="A386" s="56">
        <f>DATE(2022,2,1)</f>
        <v>44593</v>
      </c>
      <c r="B386" s="57">
        <v>80477440</v>
      </c>
      <c r="C386" s="57">
        <v>8420726</v>
      </c>
      <c r="D386" s="57">
        <v>2043695</v>
      </c>
      <c r="E386" s="57">
        <v>356571</v>
      </c>
      <c r="F386" s="57">
        <v>185437</v>
      </c>
      <c r="G386" s="57">
        <v>31431</v>
      </c>
      <c r="H386" s="57">
        <v>5803592</v>
      </c>
      <c r="I386" s="57">
        <v>66015</v>
      </c>
      <c r="J386" s="57">
        <v>0</v>
      </c>
      <c r="K386" s="57">
        <v>0</v>
      </c>
      <c r="L386" s="57" t="s">
        <v>137</v>
      </c>
    </row>
    <row r="387" spans="1:12" ht="24" customHeight="1" x14ac:dyDescent="0.3">
      <c r="A387" s="56">
        <f>DATE(2022,3,1)</f>
        <v>44621</v>
      </c>
      <c r="B387" s="57">
        <v>92803599</v>
      </c>
      <c r="C387" s="57">
        <v>9880587</v>
      </c>
      <c r="D387" s="57">
        <v>2295221</v>
      </c>
      <c r="E387" s="57">
        <v>192409</v>
      </c>
      <c r="F387" s="57">
        <v>139638</v>
      </c>
      <c r="G387" s="57">
        <v>19272</v>
      </c>
      <c r="H387" s="57">
        <v>7234047</v>
      </c>
      <c r="I387" s="57">
        <v>203832</v>
      </c>
      <c r="J387" s="57">
        <v>10384</v>
      </c>
      <c r="K387" s="57">
        <v>2673</v>
      </c>
      <c r="L387" s="57" t="s">
        <v>137</v>
      </c>
    </row>
    <row r="388" spans="1:12" ht="24" customHeight="1" x14ac:dyDescent="0.3">
      <c r="A388" s="56">
        <f>DATE(2022,4,1)</f>
        <v>44652</v>
      </c>
      <c r="B388" s="57">
        <v>82362016</v>
      </c>
      <c r="C388" s="141">
        <v>8038333</v>
      </c>
      <c r="D388" s="57">
        <v>1463063</v>
      </c>
      <c r="E388" s="57">
        <v>56332</v>
      </c>
      <c r="F388" s="57">
        <v>114957</v>
      </c>
      <c r="G388" s="57">
        <v>7131</v>
      </c>
      <c r="H388" s="57">
        <v>6396850</v>
      </c>
      <c r="I388" s="57">
        <v>143928</v>
      </c>
      <c r="J388" s="57">
        <v>0</v>
      </c>
      <c r="K388" s="57">
        <v>999</v>
      </c>
      <c r="L388" s="57" t="s">
        <v>137</v>
      </c>
    </row>
    <row r="389" spans="1:12" ht="24" customHeight="1" x14ac:dyDescent="0.3">
      <c r="A389" s="56">
        <f>DATE(2022,5,1)</f>
        <v>44682</v>
      </c>
      <c r="B389" s="57">
        <v>89380278</v>
      </c>
      <c r="C389" s="57">
        <v>10620727</v>
      </c>
      <c r="D389" s="57">
        <v>3799904</v>
      </c>
      <c r="E389" s="57">
        <v>24584</v>
      </c>
      <c r="F389" s="57">
        <v>314964</v>
      </c>
      <c r="G389" s="57">
        <v>11950</v>
      </c>
      <c r="H389" s="57">
        <v>6469325</v>
      </c>
      <c r="I389" s="57">
        <v>252058</v>
      </c>
      <c r="J389" s="57">
        <v>0</v>
      </c>
      <c r="K389" s="57">
        <v>2007</v>
      </c>
      <c r="L389" s="57" t="s">
        <v>137</v>
      </c>
    </row>
    <row r="390" spans="1:12" ht="24" customHeight="1" x14ac:dyDescent="0.3">
      <c r="A390" s="56">
        <f>DATE(2022,6,1)</f>
        <v>44713</v>
      </c>
      <c r="B390" s="57">
        <v>87813344</v>
      </c>
      <c r="C390" s="57">
        <v>11223300</v>
      </c>
      <c r="D390" s="142">
        <v>3971419</v>
      </c>
      <c r="E390" s="142">
        <v>27580</v>
      </c>
      <c r="F390" s="118">
        <v>183267</v>
      </c>
      <c r="G390" s="118">
        <v>9713</v>
      </c>
      <c r="H390" s="57">
        <v>7031321</v>
      </c>
      <c r="I390" s="118">
        <v>235880</v>
      </c>
      <c r="J390" s="57">
        <v>0</v>
      </c>
      <c r="K390" s="57">
        <v>498</v>
      </c>
      <c r="L390" s="57" t="s">
        <v>137</v>
      </c>
    </row>
    <row r="391" spans="1:12" ht="24" customHeight="1" x14ac:dyDescent="0.3">
      <c r="A391" s="56">
        <f>DATE(2022,7,1)</f>
        <v>44743</v>
      </c>
      <c r="B391" s="141">
        <v>78988931</v>
      </c>
      <c r="C391" s="57">
        <v>7562564</v>
      </c>
      <c r="D391" s="57">
        <v>1662309</v>
      </c>
      <c r="E391" s="57">
        <v>10877</v>
      </c>
      <c r="F391" s="57">
        <v>161699</v>
      </c>
      <c r="G391" s="141">
        <v>7118</v>
      </c>
      <c r="H391" s="57">
        <v>5720561</v>
      </c>
      <c r="I391" s="57">
        <v>170580</v>
      </c>
      <c r="J391" s="57">
        <v>0</v>
      </c>
      <c r="K391" s="141">
        <v>6926</v>
      </c>
      <c r="L391" s="57" t="s">
        <v>137</v>
      </c>
    </row>
    <row r="392" spans="1:12" ht="24" customHeight="1" x14ac:dyDescent="0.3">
      <c r="A392" s="56">
        <f>DATE(2022,8,1)</f>
        <v>44774</v>
      </c>
      <c r="B392" s="57">
        <v>88321447</v>
      </c>
      <c r="C392" s="57">
        <v>9384791</v>
      </c>
      <c r="D392" s="57">
        <v>2498012</v>
      </c>
      <c r="E392" s="57">
        <v>40035</v>
      </c>
      <c r="F392" s="57">
        <v>169801</v>
      </c>
      <c r="G392" s="57">
        <v>11887</v>
      </c>
      <c r="H392" s="57">
        <v>6665056</v>
      </c>
      <c r="I392" s="57">
        <v>168598</v>
      </c>
      <c r="J392" s="57">
        <v>0</v>
      </c>
      <c r="K392" s="57">
        <v>23054</v>
      </c>
      <c r="L392" s="57" t="s">
        <v>137</v>
      </c>
    </row>
    <row r="393" spans="1:12" ht="24" customHeight="1" x14ac:dyDescent="0.3">
      <c r="A393" s="56">
        <f>DATE(2022,9,1)</f>
        <v>44805</v>
      </c>
      <c r="B393" s="57">
        <v>85928833</v>
      </c>
      <c r="C393" s="57">
        <v>10343083</v>
      </c>
      <c r="D393" s="57">
        <v>4010665</v>
      </c>
      <c r="E393" s="57">
        <v>86033</v>
      </c>
      <c r="F393" s="57">
        <v>134787</v>
      </c>
      <c r="G393" s="57">
        <v>19554</v>
      </c>
      <c r="H393" s="57">
        <v>6092044</v>
      </c>
      <c r="I393" s="57">
        <v>124073</v>
      </c>
      <c r="J393" s="57">
        <v>0</v>
      </c>
      <c r="K393" s="57">
        <v>0</v>
      </c>
      <c r="L393" s="57" t="s">
        <v>137</v>
      </c>
    </row>
    <row r="394" spans="1:12" ht="24" customHeight="1" x14ac:dyDescent="0.3">
      <c r="A394" s="56">
        <f>DATE(2022,10,1)</f>
        <v>44835</v>
      </c>
      <c r="B394" s="57">
        <v>89500211</v>
      </c>
      <c r="C394" s="57">
        <v>11352597</v>
      </c>
      <c r="D394" s="57">
        <v>4790411</v>
      </c>
      <c r="E394" s="57">
        <v>222608</v>
      </c>
      <c r="F394" s="57">
        <v>126158</v>
      </c>
      <c r="G394" s="57">
        <v>25537</v>
      </c>
      <c r="H394" s="57">
        <v>6187883</v>
      </c>
      <c r="I394" s="57">
        <v>66094</v>
      </c>
      <c r="J394" s="57">
        <v>0</v>
      </c>
      <c r="K394" s="57">
        <v>51764</v>
      </c>
      <c r="L394" s="57" t="s">
        <v>137</v>
      </c>
    </row>
    <row r="395" spans="1:12" ht="24" customHeight="1" x14ac:dyDescent="0.3">
      <c r="A395" s="56">
        <f>DATE(2022,11,1)</f>
        <v>44866</v>
      </c>
      <c r="B395" s="57">
        <v>85645065</v>
      </c>
      <c r="C395" s="57">
        <v>9152381</v>
      </c>
      <c r="D395" s="57">
        <v>2565912</v>
      </c>
      <c r="E395" s="57">
        <v>234434</v>
      </c>
      <c r="F395" s="57">
        <v>136697</v>
      </c>
      <c r="G395" s="57">
        <v>30491</v>
      </c>
      <c r="H395" s="57">
        <v>6184847</v>
      </c>
      <c r="I395" s="57">
        <v>72573</v>
      </c>
      <c r="J395" s="57">
        <v>0</v>
      </c>
      <c r="K395" s="57">
        <v>3001</v>
      </c>
      <c r="L395" s="57" t="s">
        <v>137</v>
      </c>
    </row>
    <row r="396" spans="1:12" ht="24" customHeight="1" x14ac:dyDescent="0.3">
      <c r="A396" s="56">
        <f>DATE(2022,12,1)</f>
        <v>44896</v>
      </c>
      <c r="B396" s="57">
        <v>77871362</v>
      </c>
      <c r="C396" s="57">
        <v>7895252</v>
      </c>
      <c r="D396" s="57">
        <v>1655467</v>
      </c>
      <c r="E396" s="57">
        <v>285325</v>
      </c>
      <c r="F396" s="57">
        <v>119514</v>
      </c>
      <c r="G396" s="57">
        <v>35130</v>
      </c>
      <c r="H396" s="57">
        <v>5799816</v>
      </c>
      <c r="I396" s="57">
        <v>225118</v>
      </c>
      <c r="J396" s="57">
        <v>0</v>
      </c>
      <c r="K396" s="57">
        <v>0</v>
      </c>
      <c r="L396" s="57" t="s">
        <v>137</v>
      </c>
    </row>
    <row r="397" spans="1:12" ht="15" thickBot="1" x14ac:dyDescent="0.35">
      <c r="A397" s="150"/>
      <c r="B397" s="151"/>
      <c r="C397" s="151"/>
      <c r="D397" s="151"/>
      <c r="E397" s="151"/>
      <c r="F397" s="151"/>
      <c r="G397" s="151"/>
      <c r="H397" s="151"/>
      <c r="I397" s="151"/>
      <c r="J397" s="151"/>
      <c r="K397" s="151"/>
      <c r="L397" s="151"/>
    </row>
    <row r="398" spans="1:12" ht="15" thickBot="1" x14ac:dyDescent="0.35">
      <c r="A398" s="98" t="s">
        <v>155</v>
      </c>
      <c r="B398" s="68">
        <f t="shared" ref="B398:L398" si="9">SUM(B385:B396)</f>
        <v>1018800725</v>
      </c>
      <c r="C398" s="68">
        <f t="shared" si="9"/>
        <v>111450962</v>
      </c>
      <c r="D398" s="68">
        <f t="shared" si="9"/>
        <v>31914568</v>
      </c>
      <c r="E398" s="68">
        <f t="shared" si="9"/>
        <v>1966602</v>
      </c>
      <c r="F398" s="68">
        <f t="shared" si="9"/>
        <v>2019663</v>
      </c>
      <c r="G398" s="68">
        <f t="shared" si="9"/>
        <v>241479</v>
      </c>
      <c r="H398" s="68">
        <f t="shared" si="9"/>
        <v>75308650</v>
      </c>
      <c r="I398" s="68">
        <f t="shared" si="9"/>
        <v>1834941</v>
      </c>
      <c r="J398" s="68">
        <f t="shared" si="9"/>
        <v>10384</v>
      </c>
      <c r="K398" s="68">
        <f t="shared" si="9"/>
        <v>142115</v>
      </c>
      <c r="L398" s="69">
        <f t="shared" si="9"/>
        <v>0</v>
      </c>
    </row>
    <row r="399" spans="1:12" ht="24" customHeight="1" x14ac:dyDescent="0.3">
      <c r="A399" s="56">
        <f>DATE(2023,1,1)</f>
        <v>44927</v>
      </c>
      <c r="B399" s="57">
        <v>81195888</v>
      </c>
      <c r="C399" s="57">
        <v>9717277</v>
      </c>
      <c r="D399" s="57">
        <v>1008441</v>
      </c>
      <c r="E399" s="57">
        <v>222361</v>
      </c>
      <c r="F399" s="57">
        <v>147540</v>
      </c>
      <c r="G399" s="57">
        <v>30308</v>
      </c>
      <c r="H399" s="57">
        <v>8308627</v>
      </c>
      <c r="I399" s="57">
        <v>81493</v>
      </c>
      <c r="J399" s="57">
        <v>0</v>
      </c>
      <c r="K399" s="57">
        <v>101254</v>
      </c>
      <c r="L399" s="57" t="s">
        <v>137</v>
      </c>
    </row>
    <row r="400" spans="1:12" ht="24" customHeight="1" x14ac:dyDescent="0.3">
      <c r="A400" s="56">
        <f>DATE(2023,2,1)</f>
        <v>44958</v>
      </c>
      <c r="B400" s="57">
        <v>76325853</v>
      </c>
      <c r="C400" s="57">
        <v>7215378</v>
      </c>
      <c r="D400" s="57">
        <v>1573033</v>
      </c>
      <c r="E400" s="57">
        <v>169085</v>
      </c>
      <c r="F400" s="57">
        <v>121552</v>
      </c>
      <c r="G400" s="57">
        <v>14064</v>
      </c>
      <c r="H400" s="57">
        <v>5337644</v>
      </c>
      <c r="I400" s="57">
        <v>78231</v>
      </c>
      <c r="J400" s="57">
        <v>0</v>
      </c>
      <c r="K400" s="57">
        <v>0</v>
      </c>
      <c r="L400" s="57" t="s">
        <v>137</v>
      </c>
    </row>
    <row r="401" spans="1:12" ht="24" customHeight="1" x14ac:dyDescent="0.3">
      <c r="A401" s="56">
        <f>DATE(2023,3,1)</f>
        <v>44986</v>
      </c>
      <c r="B401" s="57">
        <v>88496204</v>
      </c>
      <c r="C401" s="57">
        <v>9110077</v>
      </c>
      <c r="D401" s="57">
        <v>2048286</v>
      </c>
      <c r="E401" s="57">
        <v>134815</v>
      </c>
      <c r="F401" s="57">
        <v>289843</v>
      </c>
      <c r="G401" s="57">
        <v>26765</v>
      </c>
      <c r="H401" s="57">
        <v>6610368</v>
      </c>
      <c r="I401" s="57">
        <v>98392</v>
      </c>
      <c r="J401" s="57">
        <v>0</v>
      </c>
      <c r="K401" s="57">
        <v>0</v>
      </c>
      <c r="L401" s="57" t="s">
        <v>137</v>
      </c>
    </row>
    <row r="402" spans="1:12" ht="24" customHeight="1" x14ac:dyDescent="0.3">
      <c r="A402" s="56">
        <f>DATE(2023,4,1)</f>
        <v>45017</v>
      </c>
      <c r="B402" s="57">
        <v>82414835</v>
      </c>
      <c r="C402" s="141">
        <v>9543925</v>
      </c>
      <c r="D402" s="57">
        <v>3152020</v>
      </c>
      <c r="E402" s="57">
        <v>54980</v>
      </c>
      <c r="F402" s="57">
        <v>274271</v>
      </c>
      <c r="G402" s="57">
        <v>12971</v>
      </c>
      <c r="H402" s="57">
        <v>6049683</v>
      </c>
      <c r="I402" s="57">
        <v>162909</v>
      </c>
      <c r="J402" s="57">
        <v>0</v>
      </c>
      <c r="K402" s="57">
        <v>1882</v>
      </c>
      <c r="L402" s="57" t="s">
        <v>137</v>
      </c>
    </row>
    <row r="403" spans="1:12" ht="24" customHeight="1" x14ac:dyDescent="0.3">
      <c r="A403" s="56">
        <f>DATE(2023,5,1)</f>
        <v>45047</v>
      </c>
      <c r="B403" s="57">
        <v>86069227</v>
      </c>
      <c r="C403" s="57">
        <v>10342805</v>
      </c>
      <c r="D403" s="57">
        <v>3169697</v>
      </c>
      <c r="E403" s="57">
        <v>36674</v>
      </c>
      <c r="F403" s="57">
        <v>199755</v>
      </c>
      <c r="G403" s="57">
        <v>12275</v>
      </c>
      <c r="H403" s="57">
        <v>6924404</v>
      </c>
      <c r="I403" s="57">
        <v>133915</v>
      </c>
      <c r="J403" s="57">
        <v>0</v>
      </c>
      <c r="K403" s="57">
        <v>4119</v>
      </c>
      <c r="L403" s="57" t="s">
        <v>137</v>
      </c>
    </row>
    <row r="404" spans="1:12" ht="24" customHeight="1" x14ac:dyDescent="0.3">
      <c r="A404" s="56">
        <f>DATE(2023,6,1)</f>
        <v>45078</v>
      </c>
      <c r="B404" s="57">
        <v>85865908</v>
      </c>
      <c r="C404" s="57">
        <v>10539784</v>
      </c>
      <c r="D404" s="142">
        <v>3477311</v>
      </c>
      <c r="E404" s="142">
        <v>17847</v>
      </c>
      <c r="F404" s="118">
        <v>165485</v>
      </c>
      <c r="G404" s="118">
        <v>9247</v>
      </c>
      <c r="H404" s="57">
        <v>6869894</v>
      </c>
      <c r="I404" s="118">
        <v>165135</v>
      </c>
      <c r="J404" s="57">
        <v>5445</v>
      </c>
      <c r="K404" s="57">
        <v>1015</v>
      </c>
      <c r="L404" s="57" t="s">
        <v>137</v>
      </c>
    </row>
    <row r="405" spans="1:12" ht="24" customHeight="1" x14ac:dyDescent="0.3">
      <c r="A405" s="56">
        <f>DATE(2023,7,1)</f>
        <v>45108</v>
      </c>
      <c r="B405" s="141">
        <v>77531613</v>
      </c>
      <c r="C405" s="57">
        <v>7572212</v>
      </c>
      <c r="D405" s="57">
        <v>2013332</v>
      </c>
      <c r="E405" s="57">
        <v>33072</v>
      </c>
      <c r="F405" s="57">
        <v>135733</v>
      </c>
      <c r="G405" s="141">
        <v>9864</v>
      </c>
      <c r="H405" s="57">
        <v>5380211</v>
      </c>
      <c r="I405" s="57">
        <v>169810</v>
      </c>
      <c r="J405" s="57">
        <v>0</v>
      </c>
      <c r="K405" s="141">
        <v>12259</v>
      </c>
      <c r="L405" s="57" t="s">
        <v>137</v>
      </c>
    </row>
    <row r="406" spans="1:12" ht="24" customHeight="1" x14ac:dyDescent="0.3">
      <c r="A406" s="56">
        <f>DATE(2023,8,1)</f>
        <v>45139</v>
      </c>
      <c r="B406" s="57">
        <v>91983829</v>
      </c>
      <c r="C406" s="57">
        <v>10403160</v>
      </c>
      <c r="D406" s="57">
        <v>2579555</v>
      </c>
      <c r="E406" s="57">
        <v>55797</v>
      </c>
      <c r="F406" s="57">
        <v>236335</v>
      </c>
      <c r="G406" s="57">
        <v>7983</v>
      </c>
      <c r="H406" s="57">
        <v>7523490</v>
      </c>
      <c r="I406" s="57">
        <v>146971</v>
      </c>
      <c r="J406" s="57">
        <v>0</v>
      </c>
      <c r="K406" s="57">
        <v>31881</v>
      </c>
      <c r="L406" s="57" t="s">
        <v>137</v>
      </c>
    </row>
    <row r="407" spans="1:12" ht="24" customHeight="1" x14ac:dyDescent="0.3">
      <c r="A407" s="56">
        <f>DATE(2023,9,1)</f>
        <v>45170</v>
      </c>
      <c r="B407" s="57">
        <v>83745819</v>
      </c>
      <c r="C407" s="57">
        <v>10921491</v>
      </c>
      <c r="D407" s="57">
        <v>3947195</v>
      </c>
      <c r="E407" s="57">
        <v>77975</v>
      </c>
      <c r="F407" s="57">
        <v>201031</v>
      </c>
      <c r="G407" s="57">
        <v>9746</v>
      </c>
      <c r="H407" s="57">
        <v>6685544</v>
      </c>
      <c r="I407" s="57">
        <v>100194</v>
      </c>
      <c r="J407" s="57">
        <v>0</v>
      </c>
      <c r="K407" s="57">
        <v>2800</v>
      </c>
      <c r="L407" s="57" t="s">
        <v>137</v>
      </c>
    </row>
    <row r="408" spans="1:12" ht="24" customHeight="1" x14ac:dyDescent="0.3">
      <c r="A408" s="56">
        <f>DATE(2023,10,1)</f>
        <v>45200</v>
      </c>
      <c r="B408" s="57">
        <v>87881525</v>
      </c>
      <c r="C408" s="57">
        <v>12003457</v>
      </c>
      <c r="D408" s="57">
        <v>4812897</v>
      </c>
      <c r="E408" s="57">
        <v>175376</v>
      </c>
      <c r="F408" s="57">
        <v>170715</v>
      </c>
      <c r="G408" s="57">
        <v>20061</v>
      </c>
      <c r="H408" s="57">
        <v>6824408</v>
      </c>
      <c r="I408" s="57">
        <v>186777</v>
      </c>
      <c r="J408" s="57">
        <v>0</v>
      </c>
      <c r="K408" s="57">
        <v>16805</v>
      </c>
      <c r="L408" s="57" t="s">
        <v>137</v>
      </c>
    </row>
    <row r="409" spans="1:12" ht="24" customHeight="1" x14ac:dyDescent="0.3">
      <c r="A409" s="56">
        <f>DATE(2023,11,1)</f>
        <v>45231</v>
      </c>
      <c r="B409" s="57">
        <v>82959302</v>
      </c>
      <c r="C409" s="57">
        <v>9599439</v>
      </c>
      <c r="D409" s="57">
        <v>2946500</v>
      </c>
      <c r="E409" s="57">
        <v>152506</v>
      </c>
      <c r="F409" s="57">
        <v>374903</v>
      </c>
      <c r="G409" s="57">
        <v>18631</v>
      </c>
      <c r="H409" s="57">
        <v>6106899</v>
      </c>
      <c r="I409" s="57">
        <v>136906</v>
      </c>
      <c r="J409" s="57">
        <v>0</v>
      </c>
      <c r="K409" s="57">
        <v>28971</v>
      </c>
      <c r="L409" s="57" t="s">
        <v>137</v>
      </c>
    </row>
    <row r="410" spans="1:12" ht="24" customHeight="1" x14ac:dyDescent="0.3">
      <c r="A410" s="56">
        <f>DATE(2023,12,1)</f>
        <v>45261</v>
      </c>
      <c r="B410" s="57">
        <v>75957132</v>
      </c>
      <c r="C410" s="57">
        <v>7540197</v>
      </c>
      <c r="D410" s="57">
        <v>1815934</v>
      </c>
      <c r="E410" s="57">
        <v>171038</v>
      </c>
      <c r="F410" s="57">
        <v>88815</v>
      </c>
      <c r="G410" s="57">
        <v>28006</v>
      </c>
      <c r="H410" s="57">
        <v>5436404</v>
      </c>
      <c r="I410" s="57">
        <v>141356</v>
      </c>
      <c r="J410" s="57">
        <v>0</v>
      </c>
      <c r="K410" s="57">
        <v>4324</v>
      </c>
      <c r="L410" s="57" t="s">
        <v>137</v>
      </c>
    </row>
    <row r="411" spans="1:12" ht="15" thickBot="1" x14ac:dyDescent="0.35">
      <c r="A411" s="150"/>
      <c r="B411" s="151"/>
      <c r="C411" s="151"/>
      <c r="D411" s="151"/>
      <c r="E411" s="151"/>
      <c r="F411" s="151"/>
      <c r="G411" s="151"/>
      <c r="H411" s="151"/>
      <c r="I411" s="151"/>
      <c r="J411" s="151"/>
      <c r="K411" s="151"/>
      <c r="L411" s="151"/>
    </row>
    <row r="412" spans="1:12" ht="15" thickBot="1" x14ac:dyDescent="0.35">
      <c r="A412" s="98" t="s">
        <v>155</v>
      </c>
      <c r="B412" s="68">
        <f t="shared" ref="B412:L412" si="10">SUM(B399:B410)</f>
        <v>1000427135</v>
      </c>
      <c r="C412" s="68">
        <f t="shared" si="10"/>
        <v>114509202</v>
      </c>
      <c r="D412" s="68">
        <f t="shared" si="10"/>
        <v>32544201</v>
      </c>
      <c r="E412" s="68">
        <f t="shared" si="10"/>
        <v>1301526</v>
      </c>
      <c r="F412" s="68">
        <f t="shared" si="10"/>
        <v>2405978</v>
      </c>
      <c r="G412" s="68">
        <f t="shared" si="10"/>
        <v>199921</v>
      </c>
      <c r="H412" s="68">
        <f t="shared" si="10"/>
        <v>78057576</v>
      </c>
      <c r="I412" s="68">
        <f t="shared" si="10"/>
        <v>1602089</v>
      </c>
      <c r="J412" s="68">
        <f t="shared" si="10"/>
        <v>5445</v>
      </c>
      <c r="K412" s="68">
        <f t="shared" si="10"/>
        <v>205310</v>
      </c>
      <c r="L412" s="69">
        <f t="shared" si="10"/>
        <v>0</v>
      </c>
    </row>
    <row r="413" spans="1:12" ht="24" customHeight="1" x14ac:dyDescent="0.3">
      <c r="A413" s="56">
        <f>DATE(2024,1,1)</f>
        <v>45292</v>
      </c>
      <c r="B413" s="57">
        <v>80696099</v>
      </c>
      <c r="C413" s="57">
        <v>6739759</v>
      </c>
      <c r="D413" s="57">
        <v>1128560</v>
      </c>
      <c r="E413" s="57">
        <v>300931</v>
      </c>
      <c r="F413" s="57">
        <v>143389</v>
      </c>
      <c r="G413" s="57">
        <v>29107</v>
      </c>
      <c r="H413" s="57">
        <v>5137772</v>
      </c>
      <c r="I413" s="57">
        <v>150187</v>
      </c>
      <c r="J413" s="57">
        <v>0</v>
      </c>
      <c r="K413" s="57">
        <v>112411</v>
      </c>
      <c r="L413" s="57" t="s">
        <v>137</v>
      </c>
    </row>
    <row r="414" spans="1:12" ht="24" customHeight="1" x14ac:dyDescent="0.3">
      <c r="A414" s="56">
        <f>DATE(2024,2,1)</f>
        <v>45323</v>
      </c>
      <c r="B414" s="57">
        <v>78214864</v>
      </c>
      <c r="C414" s="57">
        <v>7113731</v>
      </c>
      <c r="D414" s="57">
        <v>1397494</v>
      </c>
      <c r="E414" s="57">
        <v>154754</v>
      </c>
      <c r="F414" s="57">
        <v>91585</v>
      </c>
      <c r="G414" s="57">
        <v>28914</v>
      </c>
      <c r="H414" s="57">
        <v>5440984</v>
      </c>
      <c r="I414" s="57">
        <v>117600</v>
      </c>
      <c r="J414" s="57">
        <v>0</v>
      </c>
      <c r="K414" s="57">
        <v>0</v>
      </c>
      <c r="L414" s="57" t="s">
        <v>137</v>
      </c>
    </row>
    <row r="415" spans="1:12" ht="24" customHeight="1" x14ac:dyDescent="0.3">
      <c r="A415" s="56">
        <f>DATE(2024,3,1)</f>
        <v>45352</v>
      </c>
      <c r="B415" s="57">
        <v>87162284</v>
      </c>
      <c r="C415" s="57">
        <v>11524010</v>
      </c>
      <c r="D415" s="57">
        <v>2126859</v>
      </c>
      <c r="E415" s="57">
        <v>91556</v>
      </c>
      <c r="F415" s="57">
        <v>115473</v>
      </c>
      <c r="G415" s="57">
        <v>24541</v>
      </c>
      <c r="H415" s="57">
        <v>9165581</v>
      </c>
      <c r="I415" s="57">
        <v>105166</v>
      </c>
      <c r="J415" s="57">
        <v>0</v>
      </c>
      <c r="K415" s="57">
        <v>0</v>
      </c>
      <c r="L415" s="57" t="s">
        <v>137</v>
      </c>
    </row>
    <row r="416" spans="1:12" ht="24" customHeight="1" x14ac:dyDescent="0.3">
      <c r="A416" s="56">
        <f>DATE(2024,4,1)</f>
        <v>45383</v>
      </c>
      <c r="B416" s="57">
        <v>87567938</v>
      </c>
      <c r="C416" s="141">
        <v>12697765</v>
      </c>
      <c r="D416" s="57">
        <v>3050128</v>
      </c>
      <c r="E416" s="57">
        <v>34439</v>
      </c>
      <c r="F416" s="57">
        <v>114239</v>
      </c>
      <c r="G416" s="57">
        <v>11091</v>
      </c>
      <c r="H416" s="57">
        <v>9487868</v>
      </c>
      <c r="I416" s="57">
        <v>134937</v>
      </c>
      <c r="J416" s="57">
        <v>0</v>
      </c>
      <c r="K416" s="57">
        <v>0</v>
      </c>
      <c r="L416" s="57" t="s">
        <v>137</v>
      </c>
    </row>
    <row r="417" spans="1:12" ht="24" customHeight="1" x14ac:dyDescent="0.3">
      <c r="A417" s="56">
        <f>DATE(2024,5,1)</f>
        <v>45413</v>
      </c>
      <c r="B417" s="57">
        <v>87953970</v>
      </c>
      <c r="C417" s="57">
        <v>11993038</v>
      </c>
      <c r="D417" s="57">
        <v>2696926</v>
      </c>
      <c r="E417" s="57">
        <v>16812</v>
      </c>
      <c r="F417" s="57">
        <v>130827</v>
      </c>
      <c r="G417" s="57">
        <v>12894</v>
      </c>
      <c r="H417" s="57">
        <v>9135579</v>
      </c>
      <c r="I417" s="57">
        <v>145649</v>
      </c>
      <c r="J417" s="57">
        <v>0</v>
      </c>
      <c r="K417" s="57">
        <v>1033</v>
      </c>
      <c r="L417" s="57" t="s">
        <v>137</v>
      </c>
    </row>
    <row r="418" spans="1:12" ht="24" customHeight="1" x14ac:dyDescent="0.3">
      <c r="A418" s="56">
        <f>DATE(2024,6,1)</f>
        <v>45444</v>
      </c>
      <c r="B418" s="57">
        <v>86440064</v>
      </c>
      <c r="C418" s="57">
        <v>12832541</v>
      </c>
      <c r="D418" s="142">
        <v>4135102</v>
      </c>
      <c r="E418" s="142">
        <v>14452</v>
      </c>
      <c r="F418" s="118">
        <v>158171</v>
      </c>
      <c r="G418" s="118">
        <v>15920</v>
      </c>
      <c r="H418" s="57">
        <v>8508896</v>
      </c>
      <c r="I418" s="118">
        <v>161274</v>
      </c>
      <c r="J418" s="57">
        <v>0</v>
      </c>
      <c r="K418" s="57">
        <v>0</v>
      </c>
      <c r="L418" s="57" t="s">
        <v>137</v>
      </c>
    </row>
    <row r="419" spans="1:12" ht="24" customHeight="1" x14ac:dyDescent="0.3">
      <c r="A419" s="56">
        <f>DATE(2024,7,1)</f>
        <v>45474</v>
      </c>
      <c r="B419" s="141">
        <v>86558401</v>
      </c>
      <c r="C419" s="57">
        <v>10734610</v>
      </c>
      <c r="D419" s="57">
        <v>2113107</v>
      </c>
      <c r="E419" s="57">
        <v>10592</v>
      </c>
      <c r="F419" s="57">
        <v>443544</v>
      </c>
      <c r="G419" s="141">
        <v>19293</v>
      </c>
      <c r="H419" s="57">
        <v>8148074</v>
      </c>
      <c r="I419" s="57">
        <v>175553</v>
      </c>
      <c r="J419" s="57">
        <v>0</v>
      </c>
      <c r="K419" s="141">
        <v>37240</v>
      </c>
      <c r="L419" s="57" t="s">
        <v>137</v>
      </c>
    </row>
    <row r="420" spans="1:12" ht="24" customHeight="1" x14ac:dyDescent="0.3">
      <c r="A420" s="56">
        <f>DATE(2024,8,1)</f>
        <v>45505</v>
      </c>
      <c r="B420" s="57">
        <v>91737070</v>
      </c>
      <c r="C420" s="57">
        <v>13230428</v>
      </c>
      <c r="D420" s="57">
        <v>3346580</v>
      </c>
      <c r="E420" s="57">
        <v>46653</v>
      </c>
      <c r="F420" s="57">
        <v>205182</v>
      </c>
      <c r="G420" s="57">
        <v>11027</v>
      </c>
      <c r="H420" s="57">
        <v>9620986</v>
      </c>
      <c r="I420" s="57">
        <v>149317</v>
      </c>
      <c r="J420" s="57">
        <v>0</v>
      </c>
      <c r="K420" s="57">
        <v>3212</v>
      </c>
      <c r="L420" s="57" t="s">
        <v>137</v>
      </c>
    </row>
    <row r="421" spans="1:12" ht="24" customHeight="1" x14ac:dyDescent="0.3">
      <c r="A421" s="56">
        <f>DATE(2024,9,1)</f>
        <v>45536</v>
      </c>
      <c r="B421" s="57">
        <v>87264648</v>
      </c>
      <c r="C421" s="57">
        <v>11989070</v>
      </c>
      <c r="D421" s="57">
        <v>3740678</v>
      </c>
      <c r="E421" s="57">
        <v>60557</v>
      </c>
      <c r="F421" s="57">
        <v>172777</v>
      </c>
      <c r="G421" s="57">
        <v>20723</v>
      </c>
      <c r="H421" s="57">
        <v>7994335</v>
      </c>
      <c r="I421" s="57">
        <v>78189</v>
      </c>
      <c r="J421" s="57">
        <v>0</v>
      </c>
      <c r="K421" s="57">
        <v>20854</v>
      </c>
      <c r="L421" s="57" t="s">
        <v>137</v>
      </c>
    </row>
    <row r="422" spans="1:12" ht="24" customHeight="1" x14ac:dyDescent="0.3">
      <c r="A422" s="56">
        <f>DATE(2024,10,1)</f>
        <v>45566</v>
      </c>
      <c r="B422" s="57">
        <v>95432292</v>
      </c>
      <c r="C422" s="57">
        <v>14438387</v>
      </c>
      <c r="D422" s="57">
        <v>5100095</v>
      </c>
      <c r="E422" s="57">
        <v>138237</v>
      </c>
      <c r="F422" s="57">
        <v>158357</v>
      </c>
      <c r="G422" s="57">
        <v>23206</v>
      </c>
      <c r="H422" s="57">
        <v>9018492</v>
      </c>
      <c r="I422" s="57">
        <v>185527</v>
      </c>
      <c r="J422" s="57">
        <v>0</v>
      </c>
      <c r="K422" s="57">
        <v>69377</v>
      </c>
      <c r="L422" s="57" t="s">
        <v>137</v>
      </c>
    </row>
    <row r="423" spans="1:12" ht="24" customHeight="1" x14ac:dyDescent="0.3">
      <c r="A423" s="56">
        <f>DATE(2024,11,1)</f>
        <v>45597</v>
      </c>
      <c r="B423" s="57">
        <v>81249477</v>
      </c>
      <c r="C423" s="57">
        <v>9241555</v>
      </c>
      <c r="D423" s="57">
        <v>1566594</v>
      </c>
      <c r="E423" s="57">
        <v>106842</v>
      </c>
      <c r="F423" s="57">
        <v>88327</v>
      </c>
      <c r="G423" s="57">
        <v>26507</v>
      </c>
      <c r="H423" s="57">
        <v>7453285</v>
      </c>
      <c r="I423" s="57">
        <v>123074</v>
      </c>
      <c r="J423" s="57">
        <v>0</v>
      </c>
      <c r="K423" s="57">
        <v>0</v>
      </c>
      <c r="L423" s="57" t="s">
        <v>137</v>
      </c>
    </row>
    <row r="424" spans="1:12" ht="24" customHeight="1" x14ac:dyDescent="0.3">
      <c r="A424" s="56">
        <f>DATE(2024,12,1)</f>
        <v>45627</v>
      </c>
      <c r="B424" s="57">
        <v>81519019</v>
      </c>
      <c r="C424" s="57">
        <v>10136547</v>
      </c>
      <c r="D424" s="57">
        <v>1366301</v>
      </c>
      <c r="E424" s="57">
        <v>196951</v>
      </c>
      <c r="F424" s="57">
        <v>79114</v>
      </c>
      <c r="G424" s="57">
        <v>22881</v>
      </c>
      <c r="H424" s="57">
        <v>8471300</v>
      </c>
      <c r="I424" s="57">
        <v>100656</v>
      </c>
      <c r="J424" s="57">
        <v>0</v>
      </c>
      <c r="K424" s="57">
        <v>0</v>
      </c>
      <c r="L424" s="57" t="s">
        <v>137</v>
      </c>
    </row>
    <row r="425" spans="1:12" ht="15" thickBot="1" x14ac:dyDescent="0.35">
      <c r="A425" s="150"/>
      <c r="B425" s="151"/>
      <c r="C425" s="151"/>
      <c r="D425" s="151"/>
      <c r="E425" s="151"/>
      <c r="F425" s="151"/>
      <c r="G425" s="151"/>
      <c r="H425" s="151"/>
      <c r="I425" s="151"/>
      <c r="J425" s="151"/>
      <c r="K425" s="151"/>
      <c r="L425" s="151"/>
    </row>
    <row r="426" spans="1:12" ht="15" thickBot="1" x14ac:dyDescent="0.35">
      <c r="A426" s="98" t="s">
        <v>155</v>
      </c>
      <c r="B426" s="68">
        <f t="shared" ref="B426:L426" si="11">SUM(B413:B424)</f>
        <v>1031796126</v>
      </c>
      <c r="C426" s="68">
        <f t="shared" si="11"/>
        <v>132671441</v>
      </c>
      <c r="D426" s="68">
        <f t="shared" si="11"/>
        <v>31768424</v>
      </c>
      <c r="E426" s="68">
        <f t="shared" si="11"/>
        <v>1172776</v>
      </c>
      <c r="F426" s="68">
        <f t="shared" si="11"/>
        <v>1900985</v>
      </c>
      <c r="G426" s="68">
        <f t="shared" si="11"/>
        <v>246104</v>
      </c>
      <c r="H426" s="68">
        <f t="shared" si="11"/>
        <v>97583152</v>
      </c>
      <c r="I426" s="68">
        <f t="shared" si="11"/>
        <v>1627129</v>
      </c>
      <c r="J426" s="68">
        <f t="shared" si="11"/>
        <v>0</v>
      </c>
      <c r="K426" s="68">
        <f t="shared" si="11"/>
        <v>244127</v>
      </c>
      <c r="L426" s="69">
        <f t="shared" si="11"/>
        <v>0</v>
      </c>
    </row>
    <row r="427" spans="1:12" ht="24" customHeight="1" x14ac:dyDescent="0.3">
      <c r="A427" s="56">
        <f>DATE(2025,1,1)</f>
        <v>45658</v>
      </c>
      <c r="B427" s="57">
        <v>83514698</v>
      </c>
      <c r="C427" s="57">
        <v>9600192</v>
      </c>
      <c r="D427" s="57">
        <v>1095245</v>
      </c>
      <c r="E427" s="57">
        <v>328015</v>
      </c>
      <c r="F427" s="57">
        <v>207312</v>
      </c>
      <c r="G427" s="57">
        <v>36823</v>
      </c>
      <c r="H427" s="57">
        <v>7932797</v>
      </c>
      <c r="I427" s="57">
        <v>115611</v>
      </c>
      <c r="J427" s="57">
        <v>0</v>
      </c>
      <c r="K427" s="57">
        <v>33991</v>
      </c>
      <c r="L427" s="57" t="s">
        <v>137</v>
      </c>
    </row>
    <row r="428" spans="1:12" ht="24" customHeight="1" x14ac:dyDescent="0.3">
      <c r="A428" s="56">
        <f>DATE(2025,2,1)</f>
        <v>45689</v>
      </c>
      <c r="B428" s="57">
        <v>79124280</v>
      </c>
      <c r="C428" s="57">
        <v>9542008</v>
      </c>
      <c r="D428" s="57">
        <v>983575</v>
      </c>
      <c r="E428" s="57">
        <v>209391</v>
      </c>
      <c r="F428" s="57">
        <v>145397</v>
      </c>
      <c r="G428" s="57">
        <v>19328</v>
      </c>
      <c r="H428" s="57">
        <v>8184317</v>
      </c>
      <c r="I428" s="57">
        <v>103908</v>
      </c>
      <c r="J428" s="57">
        <v>0</v>
      </c>
      <c r="K428" s="57">
        <v>500</v>
      </c>
      <c r="L428" s="57" t="s">
        <v>137</v>
      </c>
    </row>
    <row r="429" spans="1:12" ht="24" customHeight="1" x14ac:dyDescent="0.3">
      <c r="A429" s="56">
        <f>DATE(2025,3,1)</f>
        <v>45717</v>
      </c>
      <c r="B429" s="57">
        <v>91806107</v>
      </c>
      <c r="C429" s="57">
        <v>11327026</v>
      </c>
      <c r="D429" s="57">
        <v>2473489</v>
      </c>
      <c r="E429" s="57">
        <v>95156</v>
      </c>
      <c r="F429" s="57">
        <v>187650</v>
      </c>
      <c r="G429" s="57">
        <v>14538</v>
      </c>
      <c r="H429" s="57">
        <v>8556193</v>
      </c>
      <c r="I429" s="57">
        <v>134095</v>
      </c>
      <c r="J429" s="57">
        <v>0</v>
      </c>
      <c r="K429" s="57">
        <v>0</v>
      </c>
      <c r="L429" s="57" t="s">
        <v>137</v>
      </c>
    </row>
    <row r="430" spans="1:12" ht="24" customHeight="1" x14ac:dyDescent="0.3">
      <c r="A430" s="56">
        <f>DATE(2025,4,1)</f>
        <v>45748</v>
      </c>
      <c r="B430" s="57">
        <v>89773490</v>
      </c>
      <c r="C430" s="141">
        <v>10839610</v>
      </c>
      <c r="D430" s="57">
        <v>2805864</v>
      </c>
      <c r="E430" s="57">
        <v>51706</v>
      </c>
      <c r="F430" s="57">
        <v>155638</v>
      </c>
      <c r="G430" s="57">
        <v>10900</v>
      </c>
      <c r="H430" s="57">
        <v>7815502</v>
      </c>
      <c r="I430" s="57">
        <v>143501</v>
      </c>
      <c r="J430" s="57">
        <v>0</v>
      </c>
      <c r="K430" s="57">
        <v>4915</v>
      </c>
      <c r="L430" s="57" t="s">
        <v>137</v>
      </c>
    </row>
    <row r="431" spans="1:12" ht="24" customHeight="1" x14ac:dyDescent="0.3">
      <c r="A431" s="56">
        <f>DATE(2025,5,1)</f>
        <v>45778</v>
      </c>
      <c r="B431" s="57">
        <v>90443385</v>
      </c>
      <c r="C431" s="57">
        <v>12385958</v>
      </c>
      <c r="D431" s="57">
        <v>3014991</v>
      </c>
      <c r="E431" s="57">
        <v>9858</v>
      </c>
      <c r="F431" s="57">
        <v>163123</v>
      </c>
      <c r="G431" s="57">
        <v>11104</v>
      </c>
      <c r="H431" s="57">
        <v>9186882</v>
      </c>
      <c r="I431" s="57">
        <v>143531</v>
      </c>
      <c r="J431" s="57">
        <v>0</v>
      </c>
      <c r="K431" s="57">
        <v>1400</v>
      </c>
      <c r="L431" s="57" t="s">
        <v>137</v>
      </c>
    </row>
    <row r="432" spans="1:12" ht="24" customHeight="1" x14ac:dyDescent="0.3">
      <c r="A432" s="56">
        <f>DATE(2025,6,1)</f>
        <v>45809</v>
      </c>
      <c r="B432" s="57">
        <v>88512762</v>
      </c>
      <c r="C432" s="57">
        <v>12093559</v>
      </c>
      <c r="D432" s="142">
        <v>3877266</v>
      </c>
      <c r="E432" s="142">
        <v>21258</v>
      </c>
      <c r="F432" s="118">
        <v>151404</v>
      </c>
      <c r="G432" s="118">
        <v>6752</v>
      </c>
      <c r="H432" s="57">
        <v>8036879</v>
      </c>
      <c r="I432" s="118">
        <v>214819</v>
      </c>
      <c r="J432" s="57">
        <v>0</v>
      </c>
      <c r="K432" s="57">
        <v>2734</v>
      </c>
      <c r="L432" s="57" t="s">
        <v>137</v>
      </c>
    </row>
    <row r="433" spans="1:12" ht="24" customHeight="1" x14ac:dyDescent="0.3">
      <c r="A433" s="56">
        <f>DATE(2025,7,1)</f>
        <v>45839</v>
      </c>
      <c r="B433" s="141">
        <v>91193661</v>
      </c>
      <c r="C433" s="57">
        <v>11618843</v>
      </c>
      <c r="D433" s="57">
        <v>2548989</v>
      </c>
      <c r="E433" s="57">
        <v>13305</v>
      </c>
      <c r="F433" s="57">
        <v>203725</v>
      </c>
      <c r="G433" s="141">
        <v>22729</v>
      </c>
      <c r="H433" s="57">
        <v>8830095</v>
      </c>
      <c r="I433" s="57">
        <v>449705</v>
      </c>
      <c r="J433" s="57">
        <v>0</v>
      </c>
      <c r="K433" s="141">
        <v>18363</v>
      </c>
      <c r="L433" s="57" t="s">
        <v>137</v>
      </c>
    </row>
    <row r="434" spans="1:12" ht="24" customHeight="1" x14ac:dyDescent="0.3">
      <c r="A434" s="56">
        <f>DATE(2025,8,1)</f>
        <v>45870</v>
      </c>
      <c r="B434" s="57">
        <v>93243414</v>
      </c>
      <c r="C434" s="57">
        <v>12054108</v>
      </c>
      <c r="D434" s="57">
        <v>3032451</v>
      </c>
      <c r="E434" s="57">
        <v>28196</v>
      </c>
      <c r="F434" s="57">
        <v>220084</v>
      </c>
      <c r="G434" s="57">
        <v>10399</v>
      </c>
      <c r="H434" s="57">
        <v>8762978</v>
      </c>
      <c r="I434" s="57">
        <v>201425</v>
      </c>
      <c r="J434" s="57">
        <v>0</v>
      </c>
      <c r="K434" s="57">
        <v>21363</v>
      </c>
      <c r="L434" s="57" t="s">
        <v>137</v>
      </c>
    </row>
    <row r="435" spans="1:12" ht="24" customHeight="1" x14ac:dyDescent="0.3">
      <c r="A435" s="56">
        <f>DATE(2025,9,1)</f>
        <v>45901</v>
      </c>
      <c r="B435" s="57"/>
      <c r="C435" s="57"/>
      <c r="D435" s="57"/>
      <c r="E435" s="57"/>
      <c r="F435" s="57"/>
      <c r="G435" s="57"/>
      <c r="H435" s="57"/>
      <c r="I435" s="57"/>
      <c r="J435" s="57"/>
      <c r="K435" s="57"/>
      <c r="L435" s="57" t="s">
        <v>137</v>
      </c>
    </row>
    <row r="436" spans="1:12" ht="24" customHeight="1" x14ac:dyDescent="0.3">
      <c r="A436" s="56">
        <f>DATE(2025,10,1)</f>
        <v>45931</v>
      </c>
      <c r="B436" s="57"/>
      <c r="C436" s="57"/>
      <c r="D436" s="57"/>
      <c r="E436" s="57"/>
      <c r="F436" s="57"/>
      <c r="G436" s="57"/>
      <c r="H436" s="57"/>
      <c r="I436" s="57"/>
      <c r="J436" s="57"/>
      <c r="K436" s="57"/>
      <c r="L436" s="57" t="s">
        <v>137</v>
      </c>
    </row>
    <row r="437" spans="1:12" ht="24" customHeight="1" x14ac:dyDescent="0.3">
      <c r="A437" s="56">
        <f>DATE(2025,11,1)</f>
        <v>45962</v>
      </c>
      <c r="B437" s="57"/>
      <c r="C437" s="57"/>
      <c r="D437" s="57"/>
      <c r="E437" s="57"/>
      <c r="F437" s="57"/>
      <c r="G437" s="57"/>
      <c r="H437" s="57"/>
      <c r="I437" s="57"/>
      <c r="J437" s="57"/>
      <c r="K437" s="57"/>
      <c r="L437" s="57" t="s">
        <v>137</v>
      </c>
    </row>
    <row r="438" spans="1:12" ht="24" customHeight="1" x14ac:dyDescent="0.3">
      <c r="A438" s="56">
        <f>DATE(2025,12,1)</f>
        <v>45992</v>
      </c>
      <c r="B438" s="57"/>
      <c r="C438" s="57"/>
      <c r="D438" s="57"/>
      <c r="E438" s="57"/>
      <c r="F438" s="57"/>
      <c r="G438" s="57"/>
      <c r="H438" s="57"/>
      <c r="I438" s="57"/>
      <c r="J438" s="57"/>
      <c r="K438" s="57"/>
      <c r="L438" s="57" t="s">
        <v>137</v>
      </c>
    </row>
    <row r="439" spans="1:12" ht="15" thickBot="1" x14ac:dyDescent="0.35">
      <c r="A439" s="150"/>
      <c r="B439" s="151"/>
      <c r="C439" s="151"/>
      <c r="D439" s="151"/>
      <c r="E439" s="151"/>
      <c r="F439" s="151"/>
      <c r="G439" s="151"/>
      <c r="H439" s="151"/>
      <c r="I439" s="151"/>
      <c r="J439" s="151"/>
      <c r="K439" s="151"/>
      <c r="L439" s="151"/>
    </row>
    <row r="440" spans="1:12" ht="15" thickBot="1" x14ac:dyDescent="0.35">
      <c r="A440" s="98" t="s">
        <v>155</v>
      </c>
      <c r="B440" s="68">
        <f t="shared" ref="B440:L440" si="12">SUM(B427:B438)</f>
        <v>707611797</v>
      </c>
      <c r="C440" s="68">
        <f t="shared" si="12"/>
        <v>89461304</v>
      </c>
      <c r="D440" s="68">
        <f t="shared" si="12"/>
        <v>19831870</v>
      </c>
      <c r="E440" s="68">
        <f t="shared" si="12"/>
        <v>756885</v>
      </c>
      <c r="F440" s="68">
        <f t="shared" si="12"/>
        <v>1434333</v>
      </c>
      <c r="G440" s="68">
        <f t="shared" si="12"/>
        <v>132573</v>
      </c>
      <c r="H440" s="68">
        <f t="shared" si="12"/>
        <v>67305643</v>
      </c>
      <c r="I440" s="68">
        <f t="shared" si="12"/>
        <v>1506595</v>
      </c>
      <c r="J440" s="68">
        <f t="shared" si="12"/>
        <v>0</v>
      </c>
      <c r="K440" s="68">
        <f t="shared" si="12"/>
        <v>83266</v>
      </c>
      <c r="L440" s="69">
        <f t="shared" si="12"/>
        <v>0</v>
      </c>
    </row>
    <row r="441" spans="1:12" ht="24" customHeight="1" x14ac:dyDescent="0.3">
      <c r="A441" s="56">
        <f>DATE(2026,1,1)</f>
        <v>46023</v>
      </c>
      <c r="B441" s="57"/>
      <c r="C441" s="57"/>
      <c r="D441" s="57"/>
      <c r="E441" s="57"/>
      <c r="F441" s="57"/>
      <c r="G441" s="57"/>
      <c r="H441" s="57"/>
      <c r="I441" s="57"/>
      <c r="J441" s="57"/>
      <c r="K441" s="57"/>
      <c r="L441" s="57" t="s">
        <v>137</v>
      </c>
    </row>
    <row r="442" spans="1:12" ht="24" customHeight="1" x14ac:dyDescent="0.3">
      <c r="A442" s="56">
        <f>DATE(2026,2,1)</f>
        <v>46054</v>
      </c>
      <c r="B442" s="57"/>
      <c r="C442" s="57"/>
      <c r="D442" s="57"/>
      <c r="E442" s="57"/>
      <c r="F442" s="57"/>
      <c r="G442" s="57"/>
      <c r="H442" s="57"/>
      <c r="I442" s="57"/>
      <c r="J442" s="57"/>
      <c r="K442" s="57"/>
      <c r="L442" s="57" t="s">
        <v>137</v>
      </c>
    </row>
    <row r="443" spans="1:12" ht="24" customHeight="1" x14ac:dyDescent="0.3">
      <c r="A443" s="56">
        <f>DATE(2026,3,1)</f>
        <v>46082</v>
      </c>
      <c r="B443" s="57"/>
      <c r="C443" s="57"/>
      <c r="D443" s="57"/>
      <c r="E443" s="57"/>
      <c r="F443" s="57"/>
      <c r="G443" s="57"/>
      <c r="H443" s="57"/>
      <c r="I443" s="57"/>
      <c r="J443" s="57"/>
      <c r="K443" s="57"/>
      <c r="L443" s="57" t="s">
        <v>137</v>
      </c>
    </row>
    <row r="444" spans="1:12" ht="24" customHeight="1" x14ac:dyDescent="0.3">
      <c r="A444" s="56">
        <f>DATE(2026,4,1)</f>
        <v>46113</v>
      </c>
      <c r="B444" s="57"/>
      <c r="C444" s="141"/>
      <c r="D444" s="57"/>
      <c r="E444" s="57"/>
      <c r="F444" s="57"/>
      <c r="G444" s="57"/>
      <c r="H444" s="57"/>
      <c r="I444" s="57"/>
      <c r="J444" s="57"/>
      <c r="K444" s="57"/>
      <c r="L444" s="57" t="s">
        <v>137</v>
      </c>
    </row>
    <row r="445" spans="1:12" ht="24" customHeight="1" x14ac:dyDescent="0.3">
      <c r="A445" s="56">
        <f>DATE(2026,5,1)</f>
        <v>46143</v>
      </c>
      <c r="B445" s="57"/>
      <c r="C445" s="57"/>
      <c r="D445" s="57"/>
      <c r="E445" s="57"/>
      <c r="F445" s="57"/>
      <c r="G445" s="57"/>
      <c r="H445" s="57"/>
      <c r="I445" s="57"/>
      <c r="J445" s="57"/>
      <c r="K445" s="57"/>
      <c r="L445" s="57" t="s">
        <v>137</v>
      </c>
    </row>
    <row r="446" spans="1:12" ht="24" customHeight="1" x14ac:dyDescent="0.3">
      <c r="A446" s="56">
        <f>DATE(2026,6,1)</f>
        <v>46174</v>
      </c>
      <c r="B446" s="57"/>
      <c r="C446" s="57"/>
      <c r="D446" s="142"/>
      <c r="E446" s="142"/>
      <c r="F446" s="118"/>
      <c r="G446" s="118"/>
      <c r="H446" s="57"/>
      <c r="I446" s="118"/>
      <c r="J446" s="57"/>
      <c r="K446" s="57"/>
      <c r="L446" s="57" t="s">
        <v>137</v>
      </c>
    </row>
    <row r="447" spans="1:12" ht="24" customHeight="1" x14ac:dyDescent="0.3">
      <c r="A447" s="56">
        <f>DATE(2026,7,1)</f>
        <v>46204</v>
      </c>
      <c r="B447" s="141"/>
      <c r="C447" s="57"/>
      <c r="D447" s="57"/>
      <c r="E447" s="57"/>
      <c r="F447" s="57"/>
      <c r="G447" s="141"/>
      <c r="H447" s="57"/>
      <c r="I447" s="57"/>
      <c r="J447" s="57"/>
      <c r="K447" s="141"/>
      <c r="L447" s="57" t="s">
        <v>137</v>
      </c>
    </row>
    <row r="448" spans="1:12" ht="24" customHeight="1" x14ac:dyDescent="0.3">
      <c r="A448" s="56">
        <f>DATE(2026,8,1)</f>
        <v>46235</v>
      </c>
      <c r="B448" s="57"/>
      <c r="C448" s="57"/>
      <c r="D448" s="57"/>
      <c r="E448" s="57"/>
      <c r="F448" s="57"/>
      <c r="G448" s="57"/>
      <c r="H448" s="57"/>
      <c r="I448" s="57"/>
      <c r="J448" s="57"/>
      <c r="K448" s="57"/>
      <c r="L448" s="57" t="s">
        <v>137</v>
      </c>
    </row>
    <row r="449" spans="1:12" ht="24" customHeight="1" x14ac:dyDescent="0.3">
      <c r="A449" s="56">
        <f>DATE(2026,9,1)</f>
        <v>46266</v>
      </c>
      <c r="B449" s="57"/>
      <c r="C449" s="57"/>
      <c r="D449" s="57"/>
      <c r="E449" s="57"/>
      <c r="F449" s="57"/>
      <c r="G449" s="57"/>
      <c r="H449" s="57"/>
      <c r="I449" s="57"/>
      <c r="J449" s="57"/>
      <c r="K449" s="57"/>
      <c r="L449" s="57" t="s">
        <v>137</v>
      </c>
    </row>
    <row r="450" spans="1:12" ht="24" customHeight="1" x14ac:dyDescent="0.3">
      <c r="A450" s="56">
        <f>DATE(2026,10,1)</f>
        <v>46296</v>
      </c>
      <c r="B450" s="57"/>
      <c r="C450" s="57"/>
      <c r="D450" s="57"/>
      <c r="E450" s="57"/>
      <c r="F450" s="57"/>
      <c r="G450" s="57"/>
      <c r="H450" s="57"/>
      <c r="I450" s="57"/>
      <c r="J450" s="57"/>
      <c r="K450" s="57"/>
      <c r="L450" s="57" t="s">
        <v>137</v>
      </c>
    </row>
    <row r="451" spans="1:12" ht="24" customHeight="1" x14ac:dyDescent="0.3">
      <c r="A451" s="56">
        <f>DATE(2026,11,1)</f>
        <v>46327</v>
      </c>
      <c r="B451" s="57"/>
      <c r="C451" s="57"/>
      <c r="D451" s="57"/>
      <c r="E451" s="57"/>
      <c r="F451" s="57"/>
      <c r="G451" s="57"/>
      <c r="H451" s="57"/>
      <c r="I451" s="57"/>
      <c r="J451" s="57"/>
      <c r="K451" s="57"/>
      <c r="L451" s="57" t="s">
        <v>137</v>
      </c>
    </row>
    <row r="452" spans="1:12" ht="24" customHeight="1" x14ac:dyDescent="0.3">
      <c r="A452" s="56">
        <f>DATE(2026,12,1)</f>
        <v>46357</v>
      </c>
      <c r="B452" s="57"/>
      <c r="C452" s="57"/>
      <c r="D452" s="57"/>
      <c r="E452" s="57"/>
      <c r="F452" s="57"/>
      <c r="G452" s="57"/>
      <c r="H452" s="57"/>
      <c r="I452" s="57"/>
      <c r="J452" s="57"/>
      <c r="K452" s="57"/>
      <c r="L452" s="57" t="s">
        <v>137</v>
      </c>
    </row>
    <row r="453" spans="1:12" ht="15" thickBot="1" x14ac:dyDescent="0.35">
      <c r="A453" s="150"/>
      <c r="B453" s="151"/>
      <c r="C453" s="151"/>
      <c r="D453" s="151"/>
      <c r="E453" s="151"/>
      <c r="F453" s="151"/>
      <c r="G453" s="151"/>
      <c r="H453" s="151"/>
      <c r="I453" s="151"/>
      <c r="J453" s="151"/>
      <c r="K453" s="151"/>
      <c r="L453" s="151"/>
    </row>
    <row r="454" spans="1:12" ht="15" thickBot="1" x14ac:dyDescent="0.35">
      <c r="A454" s="98" t="s">
        <v>155</v>
      </c>
      <c r="B454" s="68">
        <f t="shared" ref="B454:L454" si="13">SUM(B441:B452)</f>
        <v>0</v>
      </c>
      <c r="C454" s="68">
        <f t="shared" si="13"/>
        <v>0</v>
      </c>
      <c r="D454" s="68">
        <f t="shared" si="13"/>
        <v>0</v>
      </c>
      <c r="E454" s="68">
        <f t="shared" si="13"/>
        <v>0</v>
      </c>
      <c r="F454" s="68">
        <f t="shared" si="13"/>
        <v>0</v>
      </c>
      <c r="G454" s="68">
        <f t="shared" si="13"/>
        <v>0</v>
      </c>
      <c r="H454" s="68">
        <f t="shared" si="13"/>
        <v>0</v>
      </c>
      <c r="I454" s="68">
        <f t="shared" si="13"/>
        <v>0</v>
      </c>
      <c r="J454" s="68">
        <f t="shared" si="13"/>
        <v>0</v>
      </c>
      <c r="K454" s="68">
        <f t="shared" si="13"/>
        <v>0</v>
      </c>
      <c r="L454" s="69">
        <f t="shared" si="13"/>
        <v>0</v>
      </c>
    </row>
    <row r="455" spans="1:12" ht="24" customHeight="1" x14ac:dyDescent="0.3">
      <c r="A455" s="56">
        <f>DATE(2027,1,1)</f>
        <v>46388</v>
      </c>
      <c r="B455" s="57"/>
      <c r="C455" s="57"/>
      <c r="D455" s="57"/>
      <c r="E455" s="57"/>
      <c r="F455" s="57"/>
      <c r="G455" s="57"/>
      <c r="H455" s="57"/>
      <c r="I455" s="57"/>
      <c r="J455" s="57"/>
      <c r="K455" s="57"/>
      <c r="L455" s="57" t="s">
        <v>137</v>
      </c>
    </row>
    <row r="456" spans="1:12" ht="24" customHeight="1" x14ac:dyDescent="0.3">
      <c r="A456" s="56">
        <f>DATE(2027,2,1)</f>
        <v>46419</v>
      </c>
      <c r="B456" s="57"/>
      <c r="C456" s="57"/>
      <c r="D456" s="57"/>
      <c r="E456" s="57"/>
      <c r="F456" s="57"/>
      <c r="G456" s="57"/>
      <c r="H456" s="57"/>
      <c r="I456" s="57"/>
      <c r="J456" s="57"/>
      <c r="K456" s="57"/>
      <c r="L456" s="57" t="s">
        <v>137</v>
      </c>
    </row>
    <row r="457" spans="1:12" ht="24" customHeight="1" x14ac:dyDescent="0.3">
      <c r="A457" s="56">
        <f>DATE(2027,3,1)</f>
        <v>46447</v>
      </c>
      <c r="B457" s="57"/>
      <c r="C457" s="57"/>
      <c r="D457" s="57"/>
      <c r="E457" s="57"/>
      <c r="F457" s="57"/>
      <c r="G457" s="57"/>
      <c r="H457" s="57"/>
      <c r="I457" s="57"/>
      <c r="J457" s="57"/>
      <c r="K457" s="57"/>
      <c r="L457" s="57" t="s">
        <v>137</v>
      </c>
    </row>
    <row r="458" spans="1:12" ht="24" customHeight="1" x14ac:dyDescent="0.3">
      <c r="A458" s="56">
        <f>DATE(2027,4,1)</f>
        <v>46478</v>
      </c>
      <c r="B458" s="57"/>
      <c r="C458" s="141"/>
      <c r="D458" s="57"/>
      <c r="E458" s="57"/>
      <c r="F458" s="57"/>
      <c r="G458" s="57"/>
      <c r="H458" s="57"/>
      <c r="I458" s="57"/>
      <c r="J458" s="57"/>
      <c r="K458" s="57"/>
      <c r="L458" s="57" t="s">
        <v>137</v>
      </c>
    </row>
    <row r="459" spans="1:12" ht="24" customHeight="1" x14ac:dyDescent="0.3">
      <c r="A459" s="56">
        <f>DATE(2027,5,1)</f>
        <v>46508</v>
      </c>
      <c r="B459" s="57"/>
      <c r="C459" s="57"/>
      <c r="D459" s="57"/>
      <c r="E459" s="57"/>
      <c r="F459" s="57"/>
      <c r="G459" s="57"/>
      <c r="H459" s="57"/>
      <c r="I459" s="57"/>
      <c r="J459" s="57"/>
      <c r="K459" s="57"/>
      <c r="L459" s="57" t="s">
        <v>137</v>
      </c>
    </row>
    <row r="460" spans="1:12" ht="24" customHeight="1" x14ac:dyDescent="0.3">
      <c r="A460" s="56">
        <f>DATE(2027,6,1)</f>
        <v>46539</v>
      </c>
      <c r="B460" s="57"/>
      <c r="C460" s="57"/>
      <c r="D460" s="142"/>
      <c r="E460" s="142"/>
      <c r="F460" s="118"/>
      <c r="G460" s="118"/>
      <c r="H460" s="57"/>
      <c r="I460" s="118"/>
      <c r="J460" s="57"/>
      <c r="K460" s="57"/>
      <c r="L460" s="57" t="s">
        <v>137</v>
      </c>
    </row>
    <row r="461" spans="1:12" ht="24" customHeight="1" x14ac:dyDescent="0.3">
      <c r="A461" s="56">
        <f>DATE(2027,7,1)</f>
        <v>46569</v>
      </c>
      <c r="B461" s="141"/>
      <c r="C461" s="57"/>
      <c r="D461" s="57"/>
      <c r="E461" s="57"/>
      <c r="F461" s="57"/>
      <c r="G461" s="141"/>
      <c r="H461" s="57"/>
      <c r="I461" s="57"/>
      <c r="J461" s="57"/>
      <c r="K461" s="141"/>
      <c r="L461" s="57" t="s">
        <v>137</v>
      </c>
    </row>
    <row r="462" spans="1:12" ht="24" customHeight="1" x14ac:dyDescent="0.3">
      <c r="A462" s="56">
        <f>DATE(2027,8,1)</f>
        <v>46600</v>
      </c>
      <c r="B462" s="57"/>
      <c r="C462" s="57"/>
      <c r="D462" s="57"/>
      <c r="E462" s="57"/>
      <c r="F462" s="57"/>
      <c r="G462" s="57"/>
      <c r="H462" s="57"/>
      <c r="I462" s="57"/>
      <c r="J462" s="57"/>
      <c r="K462" s="57"/>
      <c r="L462" s="57" t="s">
        <v>137</v>
      </c>
    </row>
    <row r="463" spans="1:12" ht="24" customHeight="1" x14ac:dyDescent="0.3">
      <c r="A463" s="56">
        <f>DATE(2027,9,1)</f>
        <v>46631</v>
      </c>
      <c r="B463" s="57"/>
      <c r="C463" s="57"/>
      <c r="D463" s="57"/>
      <c r="E463" s="57"/>
      <c r="F463" s="57"/>
      <c r="G463" s="57"/>
      <c r="H463" s="57"/>
      <c r="I463" s="57"/>
      <c r="J463" s="57"/>
      <c r="K463" s="57"/>
      <c r="L463" s="57" t="s">
        <v>137</v>
      </c>
    </row>
    <row r="464" spans="1:12" ht="24" customHeight="1" x14ac:dyDescent="0.3">
      <c r="A464" s="56">
        <f>DATE(2027,10,1)</f>
        <v>46661</v>
      </c>
      <c r="B464" s="57"/>
      <c r="C464" s="57"/>
      <c r="D464" s="57"/>
      <c r="E464" s="57"/>
      <c r="F464" s="57"/>
      <c r="G464" s="57"/>
      <c r="H464" s="57"/>
      <c r="I464" s="57"/>
      <c r="J464" s="57"/>
      <c r="K464" s="57"/>
      <c r="L464" s="57" t="s">
        <v>137</v>
      </c>
    </row>
    <row r="465" spans="1:12" ht="24" customHeight="1" x14ac:dyDescent="0.3">
      <c r="A465" s="56">
        <f>DATE(2027,11,1)</f>
        <v>46692</v>
      </c>
      <c r="B465" s="57"/>
      <c r="C465" s="57"/>
      <c r="D465" s="57"/>
      <c r="E465" s="57"/>
      <c r="F465" s="57"/>
      <c r="G465" s="57"/>
      <c r="H465" s="57"/>
      <c r="I465" s="57"/>
      <c r="J465" s="57"/>
      <c r="K465" s="57"/>
      <c r="L465" s="57" t="s">
        <v>137</v>
      </c>
    </row>
    <row r="466" spans="1:12" ht="24" customHeight="1" x14ac:dyDescent="0.3">
      <c r="A466" s="56">
        <f>DATE(2027,12,1)</f>
        <v>46722</v>
      </c>
      <c r="B466" s="57"/>
      <c r="C466" s="57"/>
      <c r="D466" s="57"/>
      <c r="E466" s="57"/>
      <c r="F466" s="57"/>
      <c r="G466" s="57"/>
      <c r="H466" s="57"/>
      <c r="I466" s="57"/>
      <c r="J466" s="57"/>
      <c r="K466" s="57"/>
      <c r="L466" s="57" t="s">
        <v>137</v>
      </c>
    </row>
    <row r="467" spans="1:12" ht="15" thickBot="1" x14ac:dyDescent="0.35">
      <c r="A467" s="150"/>
      <c r="B467" s="151"/>
      <c r="C467" s="151"/>
      <c r="D467" s="151"/>
      <c r="E467" s="151"/>
      <c r="F467" s="151"/>
      <c r="G467" s="151"/>
      <c r="H467" s="151"/>
      <c r="I467" s="151"/>
      <c r="J467" s="151"/>
      <c r="K467" s="151"/>
      <c r="L467" s="151"/>
    </row>
    <row r="468" spans="1:12" ht="15" thickBot="1" x14ac:dyDescent="0.35">
      <c r="A468" s="98" t="s">
        <v>155</v>
      </c>
      <c r="B468" s="68">
        <f t="shared" ref="B468:L468" si="14">SUM(B455:B466)</f>
        <v>0</v>
      </c>
      <c r="C468" s="68">
        <f t="shared" si="14"/>
        <v>0</v>
      </c>
      <c r="D468" s="68">
        <f t="shared" si="14"/>
        <v>0</v>
      </c>
      <c r="E468" s="68">
        <f t="shared" si="14"/>
        <v>0</v>
      </c>
      <c r="F468" s="68">
        <f t="shared" si="14"/>
        <v>0</v>
      </c>
      <c r="G468" s="68">
        <f t="shared" si="14"/>
        <v>0</v>
      </c>
      <c r="H468" s="68">
        <f t="shared" si="14"/>
        <v>0</v>
      </c>
      <c r="I468" s="68">
        <f t="shared" si="14"/>
        <v>0</v>
      </c>
      <c r="J468" s="68">
        <f t="shared" si="14"/>
        <v>0</v>
      </c>
      <c r="K468" s="68">
        <f t="shared" si="14"/>
        <v>0</v>
      </c>
      <c r="L468" s="69">
        <f t="shared" si="14"/>
        <v>0</v>
      </c>
    </row>
  </sheetData>
  <mergeCells count="2">
    <mergeCell ref="A1:L1"/>
    <mergeCell ref="A2:L2"/>
  </mergeCells>
  <phoneticPr fontId="0" type="noConversion"/>
  <pageMargins left="0.75" right="0.75" top="1" bottom="1" header="0.5" footer="0.5"/>
  <pageSetup scale="96" orientation="landscape" r:id="rId1"/>
  <headerFooter alignWithMargins="0">
    <oddHeader>&amp;F</oddHeader>
    <oddFooter>&amp;L&amp;A&amp;C&amp;BRevenue Cabinet Confidential&amp;B&amp;RPage &amp;P</oddFooter>
  </headerFooter>
  <rowBreaks count="2" manualBreakCount="2">
    <brk id="17" max="5" man="1"/>
    <brk id="3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F475"/>
  <sheetViews>
    <sheetView zoomScaleNormal="100" workbookViewId="0">
      <pane xSplit="2" ySplit="3" topLeftCell="C428" activePane="bottomRight" state="frozen"/>
      <selection pane="topRight" activeCell="C1" sqref="C1"/>
      <selection pane="bottomLeft" activeCell="A4" sqref="A4"/>
      <selection pane="bottomRight" activeCell="D440" sqref="D440"/>
    </sheetView>
  </sheetViews>
  <sheetFormatPr defaultRowHeight="12" x14ac:dyDescent="0.3"/>
  <cols>
    <col min="1" max="1" width="9.375" customWidth="1"/>
    <col min="2" max="2" width="7.625" customWidth="1"/>
    <col min="3" max="4" width="22.75" customWidth="1"/>
  </cols>
  <sheetData>
    <row r="1" spans="1:6" s="23" customFormat="1" ht="39.75" customHeight="1" x14ac:dyDescent="0.3">
      <c r="A1" s="174" t="s">
        <v>16</v>
      </c>
      <c r="B1" s="174"/>
      <c r="C1" s="174"/>
      <c r="D1" s="174"/>
      <c r="E1" s="174"/>
      <c r="F1" s="174"/>
    </row>
    <row r="2" spans="1:6" ht="32.25" customHeight="1" x14ac:dyDescent="0.3">
      <c r="A2" s="171" t="s">
        <v>114</v>
      </c>
      <c r="B2" s="172"/>
      <c r="C2" s="172"/>
      <c r="D2" s="172"/>
      <c r="E2" s="172"/>
      <c r="F2" s="173"/>
    </row>
    <row r="3" spans="1:6" ht="46.5" customHeight="1" x14ac:dyDescent="0.3">
      <c r="C3" s="26" t="s">
        <v>107</v>
      </c>
      <c r="D3" s="27" t="s">
        <v>112</v>
      </c>
    </row>
    <row r="4" spans="1:6" ht="20.100000000000001" customHeight="1" x14ac:dyDescent="0.3">
      <c r="C4" s="28">
        <f>DATE(1997,1,1)</f>
        <v>35431</v>
      </c>
      <c r="D4" s="29">
        <v>64436</v>
      </c>
    </row>
    <row r="5" spans="1:6" ht="20.100000000000001" customHeight="1" x14ac:dyDescent="0.3">
      <c r="C5" s="28">
        <f>DATE(1997,2,1)</f>
        <v>35462</v>
      </c>
      <c r="D5" s="29">
        <v>48271</v>
      </c>
    </row>
    <row r="6" spans="1:6" ht="20.100000000000001" customHeight="1" x14ac:dyDescent="0.3">
      <c r="C6" s="28">
        <f>DATE(1997,3,1)</f>
        <v>35490</v>
      </c>
      <c r="D6" s="29">
        <v>59981</v>
      </c>
    </row>
    <row r="7" spans="1:6" ht="20.100000000000001" customHeight="1" x14ac:dyDescent="0.3">
      <c r="C7" s="28">
        <f>DATE(1997,4,1)</f>
        <v>35521</v>
      </c>
      <c r="D7" s="29">
        <v>40727</v>
      </c>
    </row>
    <row r="8" spans="1:6" ht="20.100000000000001" customHeight="1" x14ac:dyDescent="0.3">
      <c r="C8" s="28">
        <f>DATE(1997,5,1)</f>
        <v>35551</v>
      </c>
      <c r="D8" s="29">
        <v>45316</v>
      </c>
    </row>
    <row r="9" spans="1:6" ht="20.100000000000001" customHeight="1" x14ac:dyDescent="0.3">
      <c r="C9" s="28">
        <f>DATE(1997,6,1)</f>
        <v>35582</v>
      </c>
      <c r="D9" s="29">
        <v>53475</v>
      </c>
    </row>
    <row r="10" spans="1:6" ht="20.100000000000001" customHeight="1" x14ac:dyDescent="0.3">
      <c r="C10" s="28">
        <f>DATE(1997,7,1)</f>
        <v>35612</v>
      </c>
      <c r="D10" s="29">
        <v>45055</v>
      </c>
    </row>
    <row r="11" spans="1:6" ht="20.100000000000001" customHeight="1" x14ac:dyDescent="0.3">
      <c r="C11" s="28">
        <f>DATE(1997,8,1)</f>
        <v>35643</v>
      </c>
      <c r="D11" s="29">
        <v>43508</v>
      </c>
    </row>
    <row r="12" spans="1:6" ht="20.100000000000001" customHeight="1" x14ac:dyDescent="0.3">
      <c r="C12" s="28">
        <f>DATE(1997,9,1)</f>
        <v>35674</v>
      </c>
      <c r="D12" s="29">
        <v>62320</v>
      </c>
    </row>
    <row r="13" spans="1:6" ht="20.100000000000001" customHeight="1" x14ac:dyDescent="0.3">
      <c r="C13" s="28">
        <f>DATE(1997,10,1)</f>
        <v>35704</v>
      </c>
      <c r="D13" s="29">
        <v>58720</v>
      </c>
    </row>
    <row r="14" spans="1:6" ht="20.100000000000001" customHeight="1" x14ac:dyDescent="0.3">
      <c r="C14" s="28">
        <f>DATE(1997,11,1)</f>
        <v>35735</v>
      </c>
      <c r="D14" s="29">
        <v>45802</v>
      </c>
    </row>
    <row r="15" spans="1:6" ht="20.100000000000001" customHeight="1" x14ac:dyDescent="0.3">
      <c r="C15" s="28">
        <f>DATE(1997,12,1)</f>
        <v>35765</v>
      </c>
      <c r="D15" s="29">
        <v>49556</v>
      </c>
    </row>
    <row r="16" spans="1:6" ht="15" thickBot="1" x14ac:dyDescent="0.35">
      <c r="C16" s="99"/>
      <c r="D16" s="66"/>
    </row>
    <row r="17" spans="3:4" s="22" customFormat="1" ht="30" customHeight="1" thickTop="1" thickBot="1" x14ac:dyDescent="0.5">
      <c r="C17" s="36" t="s">
        <v>155</v>
      </c>
      <c r="D17" s="37">
        <f>SUM(D4:D15)</f>
        <v>617167</v>
      </c>
    </row>
    <row r="18" spans="3:4" ht="15" thickTop="1" x14ac:dyDescent="0.3">
      <c r="C18" s="99"/>
      <c r="D18" s="66"/>
    </row>
    <row r="19" spans="3:4" ht="20.100000000000001" customHeight="1" x14ac:dyDescent="0.3">
      <c r="C19" s="28">
        <f>DATE(1998,1,1)</f>
        <v>35796</v>
      </c>
      <c r="D19" s="29">
        <v>63010</v>
      </c>
    </row>
    <row r="20" spans="3:4" ht="20.100000000000001" customHeight="1" x14ac:dyDescent="0.3">
      <c r="C20" s="28">
        <f>DATE(1998,2,1)</f>
        <v>35827</v>
      </c>
      <c r="D20" s="29">
        <v>57685</v>
      </c>
    </row>
    <row r="21" spans="3:4" ht="20.100000000000001" customHeight="1" x14ac:dyDescent="0.3">
      <c r="C21" s="28">
        <f>DATE(1998,3,1)</f>
        <v>35855</v>
      </c>
      <c r="D21" s="29">
        <v>59064</v>
      </c>
    </row>
    <row r="22" spans="3:4" ht="20.100000000000001" customHeight="1" x14ac:dyDescent="0.3">
      <c r="C22" s="28">
        <f>DATE(1998,4,1)</f>
        <v>35886</v>
      </c>
      <c r="D22" s="29">
        <v>41808</v>
      </c>
    </row>
    <row r="23" spans="3:4" ht="20.100000000000001" customHeight="1" x14ac:dyDescent="0.3">
      <c r="C23" s="28">
        <f>DATE(1998,5,1)</f>
        <v>35916</v>
      </c>
      <c r="D23" s="29">
        <v>29595</v>
      </c>
    </row>
    <row r="24" spans="3:4" ht="20.100000000000001" customHeight="1" x14ac:dyDescent="0.3">
      <c r="C24" s="28">
        <f>DATE(1998,6,1)</f>
        <v>35947</v>
      </c>
      <c r="D24" s="29">
        <v>34324</v>
      </c>
    </row>
    <row r="25" spans="3:4" ht="20.100000000000001" customHeight="1" x14ac:dyDescent="0.3">
      <c r="C25" s="28">
        <f>DATE(1998,7,1)</f>
        <v>35977</v>
      </c>
      <c r="D25" s="29">
        <v>32372</v>
      </c>
    </row>
    <row r="26" spans="3:4" ht="20.100000000000001" customHeight="1" x14ac:dyDescent="0.3">
      <c r="C26" s="28">
        <f>DATE(1998,8,1)</f>
        <v>36008</v>
      </c>
      <c r="D26" s="29">
        <v>34085</v>
      </c>
    </row>
    <row r="27" spans="3:4" ht="20.100000000000001" customHeight="1" x14ac:dyDescent="0.3">
      <c r="C27" s="28">
        <f>DATE(1998,9,1)</f>
        <v>36039</v>
      </c>
      <c r="D27" s="29">
        <v>44487</v>
      </c>
    </row>
    <row r="28" spans="3:4" ht="20.100000000000001" customHeight="1" x14ac:dyDescent="0.3">
      <c r="C28" s="28">
        <f>DATE(1998,10,1)</f>
        <v>36069</v>
      </c>
      <c r="D28" s="29">
        <v>48976</v>
      </c>
    </row>
    <row r="29" spans="3:4" ht="20.100000000000001" customHeight="1" x14ac:dyDescent="0.3">
      <c r="C29" s="28">
        <f>DATE(1998,11,1)</f>
        <v>36100</v>
      </c>
      <c r="D29" s="29">
        <v>53028</v>
      </c>
    </row>
    <row r="30" spans="3:4" ht="20.100000000000001" customHeight="1" x14ac:dyDescent="0.3">
      <c r="C30" s="28">
        <f>DATE(1998,12,1)</f>
        <v>36130</v>
      </c>
      <c r="D30" s="29">
        <v>61917</v>
      </c>
    </row>
    <row r="31" spans="3:4" ht="15" thickBot="1" x14ac:dyDescent="0.35">
      <c r="C31" s="99"/>
      <c r="D31" s="66"/>
    </row>
    <row r="32" spans="3:4" s="22" customFormat="1" ht="30" customHeight="1" thickTop="1" thickBot="1" x14ac:dyDescent="0.5">
      <c r="C32" s="36" t="s">
        <v>155</v>
      </c>
      <c r="D32" s="37">
        <f>SUM(D19:D30)</f>
        <v>560351</v>
      </c>
    </row>
    <row r="33" spans="3:4" ht="15" thickTop="1" x14ac:dyDescent="0.3">
      <c r="C33" s="99"/>
      <c r="D33" s="66"/>
    </row>
    <row r="34" spans="3:4" ht="20.100000000000001" customHeight="1" x14ac:dyDescent="0.3">
      <c r="C34" s="28">
        <f>DATE(1999,1,1)</f>
        <v>36161</v>
      </c>
      <c r="D34" s="29">
        <v>71955</v>
      </c>
    </row>
    <row r="35" spans="3:4" ht="20.100000000000001" customHeight="1" x14ac:dyDescent="0.3">
      <c r="C35" s="28">
        <f>DATE(1999,2,1)</f>
        <v>36192</v>
      </c>
      <c r="D35" s="29">
        <v>51683</v>
      </c>
    </row>
    <row r="36" spans="3:4" ht="20.100000000000001" customHeight="1" x14ac:dyDescent="0.3">
      <c r="C36" s="28">
        <f>DATE(1999,3,1)</f>
        <v>36220</v>
      </c>
      <c r="D36" s="29">
        <v>62981</v>
      </c>
    </row>
    <row r="37" spans="3:4" ht="20.100000000000001" customHeight="1" x14ac:dyDescent="0.3">
      <c r="C37" s="28">
        <f>DATE(1999,4,1)</f>
        <v>36251</v>
      </c>
      <c r="D37" s="29">
        <v>37705</v>
      </c>
    </row>
    <row r="38" spans="3:4" ht="20.100000000000001" customHeight="1" x14ac:dyDescent="0.3">
      <c r="C38" s="28">
        <f>DATE(1999,5,1)</f>
        <v>36281</v>
      </c>
      <c r="D38" s="29">
        <v>26962</v>
      </c>
    </row>
    <row r="39" spans="3:4" ht="20.100000000000001" customHeight="1" x14ac:dyDescent="0.3">
      <c r="C39" s="28">
        <f>DATE(1999,6,1)</f>
        <v>36312</v>
      </c>
      <c r="D39" s="29">
        <v>30291</v>
      </c>
    </row>
    <row r="40" spans="3:4" ht="20.100000000000001" customHeight="1" x14ac:dyDescent="0.3">
      <c r="C40" s="28">
        <f>DATE(1999,7,1)</f>
        <v>36342</v>
      </c>
      <c r="D40" s="29">
        <v>33338</v>
      </c>
    </row>
    <row r="41" spans="3:4" ht="20.100000000000001" customHeight="1" x14ac:dyDescent="0.3">
      <c r="C41" s="28">
        <f>DATE(1999,8,1)</f>
        <v>36373</v>
      </c>
      <c r="D41" s="29">
        <v>31437</v>
      </c>
    </row>
    <row r="42" spans="3:4" ht="20.100000000000001" customHeight="1" x14ac:dyDescent="0.3">
      <c r="C42" s="28">
        <f>DATE(1999,9,1)</f>
        <v>36404</v>
      </c>
      <c r="D42" s="29">
        <v>40934</v>
      </c>
    </row>
    <row r="43" spans="3:4" ht="20.100000000000001" customHeight="1" x14ac:dyDescent="0.3">
      <c r="C43" s="28">
        <f>DATE(1999,10,1)</f>
        <v>36434</v>
      </c>
      <c r="D43" s="29">
        <v>36458</v>
      </c>
    </row>
    <row r="44" spans="3:4" ht="20.100000000000001" customHeight="1" x14ac:dyDescent="0.3">
      <c r="C44" s="28">
        <f>DATE(1999,11,1)</f>
        <v>36465</v>
      </c>
      <c r="D44" s="29">
        <v>35965</v>
      </c>
    </row>
    <row r="45" spans="3:4" ht="20.100000000000001" customHeight="1" x14ac:dyDescent="0.3">
      <c r="C45" s="28">
        <f>DATE(1999,12,1)</f>
        <v>36495</v>
      </c>
      <c r="D45" s="29">
        <v>44192</v>
      </c>
    </row>
    <row r="46" spans="3:4" ht="15" thickBot="1" x14ac:dyDescent="0.35">
      <c r="C46" s="99"/>
      <c r="D46" s="100"/>
    </row>
    <row r="47" spans="3:4" s="22" customFormat="1" ht="30" customHeight="1" thickTop="1" thickBot="1" x14ac:dyDescent="0.5">
      <c r="C47" s="36" t="s">
        <v>155</v>
      </c>
      <c r="D47" s="37">
        <f>SUM(D34:D45)</f>
        <v>503901</v>
      </c>
    </row>
    <row r="48" spans="3:4" ht="15" thickTop="1" x14ac:dyDescent="0.3">
      <c r="C48" s="99"/>
      <c r="D48" s="66"/>
    </row>
    <row r="49" spans="1:4" ht="24.9" customHeight="1" x14ac:dyDescent="0.3">
      <c r="C49" s="28">
        <f>DATE(2000,1,1)</f>
        <v>36526</v>
      </c>
      <c r="D49" s="29">
        <v>94619</v>
      </c>
    </row>
    <row r="50" spans="1:4" ht="24.9" customHeight="1" x14ac:dyDescent="0.3">
      <c r="A50" s="8"/>
      <c r="C50" s="28">
        <f>DATE(2000,2,1)</f>
        <v>36557</v>
      </c>
      <c r="D50" s="29">
        <v>67690</v>
      </c>
    </row>
    <row r="51" spans="1:4" ht="24.9" customHeight="1" x14ac:dyDescent="0.3">
      <c r="A51" s="8"/>
      <c r="C51" s="28">
        <f>DATE(2000,3,1)</f>
        <v>36586</v>
      </c>
      <c r="D51" s="29">
        <v>56066</v>
      </c>
    </row>
    <row r="52" spans="1:4" ht="24.9" customHeight="1" x14ac:dyDescent="0.3">
      <c r="C52" s="28">
        <f>DATE(2000,4,1)</f>
        <v>36617</v>
      </c>
      <c r="D52" s="29">
        <v>58334</v>
      </c>
    </row>
    <row r="53" spans="1:4" ht="24.9" customHeight="1" x14ac:dyDescent="0.3">
      <c r="C53" s="28">
        <f>DATE(2000,5,1)</f>
        <v>36647</v>
      </c>
      <c r="D53" s="29">
        <v>49870</v>
      </c>
    </row>
    <row r="54" spans="1:4" ht="24.9" customHeight="1" x14ac:dyDescent="0.3">
      <c r="C54" s="28">
        <f>DATE(2000,6,1)</f>
        <v>36678</v>
      </c>
      <c r="D54" s="29">
        <v>48806</v>
      </c>
    </row>
    <row r="55" spans="1:4" ht="24.9" customHeight="1" x14ac:dyDescent="0.3">
      <c r="C55" s="28">
        <f>DATE(2000,7,1)</f>
        <v>36708</v>
      </c>
      <c r="D55" s="29">
        <v>36001</v>
      </c>
    </row>
    <row r="56" spans="1:4" ht="24.9" customHeight="1" x14ac:dyDescent="0.3">
      <c r="C56" s="28">
        <f>DATE(2000,8,1)</f>
        <v>36739</v>
      </c>
      <c r="D56" s="29">
        <v>72038</v>
      </c>
    </row>
    <row r="57" spans="1:4" ht="24.9" customHeight="1" x14ac:dyDescent="0.3">
      <c r="C57" s="28">
        <f>DATE(2000,9,1)</f>
        <v>36770</v>
      </c>
      <c r="D57" s="29">
        <v>89765</v>
      </c>
    </row>
    <row r="58" spans="1:4" ht="24.9" customHeight="1" x14ac:dyDescent="0.3">
      <c r="C58" s="28">
        <f>DATE(2000,10,1)</f>
        <v>36800</v>
      </c>
      <c r="D58" s="29">
        <v>111474</v>
      </c>
    </row>
    <row r="59" spans="1:4" ht="24.9" customHeight="1" x14ac:dyDescent="0.3">
      <c r="C59" s="28">
        <f>DATE(2000,11,1)</f>
        <v>36831</v>
      </c>
      <c r="D59" s="29">
        <v>106446</v>
      </c>
    </row>
    <row r="60" spans="1:4" ht="24.9" customHeight="1" x14ac:dyDescent="0.3">
      <c r="C60" s="28">
        <f>DATE(2000,12,1)</f>
        <v>36861</v>
      </c>
      <c r="D60" s="29">
        <v>56058</v>
      </c>
    </row>
    <row r="61" spans="1:4" ht="24.9" customHeight="1" thickBot="1" x14ac:dyDescent="0.35">
      <c r="C61" s="99"/>
      <c r="D61" s="100"/>
    </row>
    <row r="62" spans="1:4" ht="24.9" customHeight="1" thickTop="1" thickBot="1" x14ac:dyDescent="0.35">
      <c r="C62" s="36" t="s">
        <v>155</v>
      </c>
      <c r="D62" s="37">
        <f>SUM(D49:D60)</f>
        <v>847167</v>
      </c>
    </row>
    <row r="63" spans="1:4" ht="15" thickTop="1" x14ac:dyDescent="0.3">
      <c r="C63" s="66"/>
      <c r="D63" s="66"/>
    </row>
    <row r="64" spans="1:4" ht="24.75" customHeight="1" x14ac:dyDescent="0.3">
      <c r="C64" s="28">
        <f>DATE(2001,1,1)</f>
        <v>36892</v>
      </c>
      <c r="D64" s="29">
        <v>111113</v>
      </c>
    </row>
    <row r="65" spans="3:4" ht="24.75" customHeight="1" x14ac:dyDescent="0.3">
      <c r="C65" s="28">
        <f>DATE(2001,2,1)</f>
        <v>36923</v>
      </c>
      <c r="D65" s="29">
        <v>111515</v>
      </c>
    </row>
    <row r="66" spans="3:4" ht="24.75" customHeight="1" x14ac:dyDescent="0.3">
      <c r="C66" s="28">
        <f>DATE(2001,3,1)</f>
        <v>36951</v>
      </c>
      <c r="D66" s="29">
        <v>107044</v>
      </c>
    </row>
    <row r="67" spans="3:4" ht="24.75" customHeight="1" x14ac:dyDescent="0.3">
      <c r="C67" s="28">
        <f>DATE(2001,4,1)</f>
        <v>36982</v>
      </c>
      <c r="D67" s="29">
        <v>109757</v>
      </c>
    </row>
    <row r="68" spans="3:4" ht="24.75" customHeight="1" x14ac:dyDescent="0.3">
      <c r="C68" s="28">
        <f>DATE(2001,5,1)</f>
        <v>37012</v>
      </c>
      <c r="D68" s="29">
        <v>61347</v>
      </c>
    </row>
    <row r="69" spans="3:4" ht="24.75" customHeight="1" x14ac:dyDescent="0.3">
      <c r="C69" s="28">
        <f>DATE(2001,6,1)</f>
        <v>37043</v>
      </c>
      <c r="D69" s="29">
        <v>96905</v>
      </c>
    </row>
    <row r="70" spans="3:4" ht="24.75" customHeight="1" x14ac:dyDescent="0.3">
      <c r="C70" s="28">
        <f>DATE(2001,7,1)</f>
        <v>37073</v>
      </c>
      <c r="D70" s="29">
        <v>93115</v>
      </c>
    </row>
    <row r="71" spans="3:4" ht="24.75" customHeight="1" x14ac:dyDescent="0.3">
      <c r="C71" s="28">
        <f>DATE(2001,8,1)</f>
        <v>37104</v>
      </c>
      <c r="D71" s="29">
        <v>85118</v>
      </c>
    </row>
    <row r="72" spans="3:4" ht="24.75" customHeight="1" x14ac:dyDescent="0.3">
      <c r="C72" s="28">
        <f>DATE(2001,9,1)</f>
        <v>37135</v>
      </c>
      <c r="D72" s="29">
        <v>24281</v>
      </c>
    </row>
    <row r="73" spans="3:4" ht="24.75" customHeight="1" x14ac:dyDescent="0.3">
      <c r="C73" s="28">
        <f>DATE(2001,10,1)</f>
        <v>37165</v>
      </c>
      <c r="D73" s="29">
        <v>94942</v>
      </c>
    </row>
    <row r="74" spans="3:4" ht="24.75" customHeight="1" x14ac:dyDescent="0.3">
      <c r="C74" s="28">
        <f>DATE(2001,11,1)</f>
        <v>37196</v>
      </c>
      <c r="D74" s="29">
        <v>74032</v>
      </c>
    </row>
    <row r="75" spans="3:4" ht="24.75" customHeight="1" x14ac:dyDescent="0.3">
      <c r="C75" s="28">
        <f>DATE(2001,12,1)</f>
        <v>37226</v>
      </c>
      <c r="D75" s="29">
        <v>123243</v>
      </c>
    </row>
    <row r="76" spans="3:4" ht="24.75" customHeight="1" thickBot="1" x14ac:dyDescent="0.35">
      <c r="C76" s="66"/>
      <c r="D76" s="66"/>
    </row>
    <row r="77" spans="3:4" ht="24.75" customHeight="1" thickBot="1" x14ac:dyDescent="0.35">
      <c r="C77" s="45" t="s">
        <v>155</v>
      </c>
      <c r="D77" s="69">
        <f>SUM(D64:D75)</f>
        <v>1092412</v>
      </c>
    </row>
    <row r="78" spans="3:4" ht="24.75" customHeight="1" x14ac:dyDescent="0.3">
      <c r="C78" s="66"/>
      <c r="D78" s="66"/>
    </row>
    <row r="79" spans="3:4" ht="24.75" customHeight="1" x14ac:dyDescent="0.3">
      <c r="C79" s="28">
        <f>DATE(2002,1,1)</f>
        <v>37257</v>
      </c>
      <c r="D79" s="29">
        <v>93029</v>
      </c>
    </row>
    <row r="80" spans="3:4" ht="24.75" customHeight="1" x14ac:dyDescent="0.3">
      <c r="C80" s="28">
        <f>DATE(2002,2,1)</f>
        <v>37288</v>
      </c>
      <c r="D80" s="29">
        <v>90697</v>
      </c>
    </row>
    <row r="81" spans="3:4" ht="24.75" customHeight="1" x14ac:dyDescent="0.3">
      <c r="C81" s="28">
        <f>DATE(2002,3,1)</f>
        <v>37316</v>
      </c>
      <c r="D81" s="29">
        <v>99965</v>
      </c>
    </row>
    <row r="82" spans="3:4" ht="24.75" customHeight="1" x14ac:dyDescent="0.3">
      <c r="C82" s="28">
        <f>DATE(2002,4,1)</f>
        <v>37347</v>
      </c>
      <c r="D82" s="29">
        <v>98428</v>
      </c>
    </row>
    <row r="83" spans="3:4" ht="24.75" customHeight="1" x14ac:dyDescent="0.3">
      <c r="C83" s="28">
        <f>DATE(2002,5,1)</f>
        <v>37377</v>
      </c>
      <c r="D83" s="29">
        <v>70681</v>
      </c>
    </row>
    <row r="84" spans="3:4" ht="24.75" customHeight="1" x14ac:dyDescent="0.3">
      <c r="C84" s="28">
        <f>DATE(2002,6,1)</f>
        <v>37408</v>
      </c>
      <c r="D84" s="29">
        <v>70738</v>
      </c>
    </row>
    <row r="85" spans="3:4" ht="24.75" customHeight="1" x14ac:dyDescent="0.3">
      <c r="C85" s="28">
        <f>DATE(2002,7,1)</f>
        <v>37438</v>
      </c>
      <c r="D85" s="29">
        <v>84332</v>
      </c>
    </row>
    <row r="86" spans="3:4" ht="24.75" customHeight="1" x14ac:dyDescent="0.3">
      <c r="C86" s="28">
        <f>DATE(2002,8,1)</f>
        <v>37469</v>
      </c>
      <c r="D86" s="29">
        <v>90703</v>
      </c>
    </row>
    <row r="87" spans="3:4" ht="24.75" customHeight="1" x14ac:dyDescent="0.3">
      <c r="C87" s="28">
        <f>DATE(2002,9,1)</f>
        <v>37500</v>
      </c>
      <c r="D87" s="29">
        <v>83831</v>
      </c>
    </row>
    <row r="88" spans="3:4" ht="24.75" customHeight="1" x14ac:dyDescent="0.3">
      <c r="C88" s="28">
        <f>DATE(2002,10,1)</f>
        <v>37530</v>
      </c>
      <c r="D88" s="29">
        <v>22951</v>
      </c>
    </row>
    <row r="89" spans="3:4" ht="24.75" customHeight="1" x14ac:dyDescent="0.3">
      <c r="C89" s="28">
        <f>DATE(2002,11,1)</f>
        <v>37561</v>
      </c>
      <c r="D89" s="29">
        <v>88039</v>
      </c>
    </row>
    <row r="90" spans="3:4" ht="24.75" customHeight="1" x14ac:dyDescent="0.3">
      <c r="C90" s="28">
        <f>DATE(2002,12,1)</f>
        <v>37591</v>
      </c>
      <c r="D90" s="29">
        <v>105392</v>
      </c>
    </row>
    <row r="91" spans="3:4" ht="24.75" customHeight="1" thickBot="1" x14ac:dyDescent="0.35">
      <c r="C91" s="28"/>
      <c r="D91" s="29"/>
    </row>
    <row r="92" spans="3:4" ht="24.75" customHeight="1" thickBot="1" x14ac:dyDescent="0.35">
      <c r="C92" s="45" t="s">
        <v>155</v>
      </c>
      <c r="D92" s="101">
        <f>SUM(D79:D90)</f>
        <v>998786</v>
      </c>
    </row>
    <row r="93" spans="3:4" ht="14.4" x14ac:dyDescent="0.3">
      <c r="C93" s="35"/>
      <c r="D93" s="35"/>
    </row>
    <row r="94" spans="3:4" ht="24.75" customHeight="1" x14ac:dyDescent="0.3">
      <c r="C94" s="28">
        <f>DATE(2003,1,1)</f>
        <v>37622</v>
      </c>
      <c r="D94" s="48">
        <v>86313</v>
      </c>
    </row>
    <row r="95" spans="3:4" ht="24.75" customHeight="1" x14ac:dyDescent="0.3">
      <c r="C95" s="28">
        <f>DATE(2003,2,1)</f>
        <v>37653</v>
      </c>
      <c r="D95" s="29">
        <v>121631</v>
      </c>
    </row>
    <row r="96" spans="3:4" ht="24.75" customHeight="1" x14ac:dyDescent="0.3">
      <c r="C96" s="28">
        <f>DATE(2003,3,1)</f>
        <v>37681</v>
      </c>
      <c r="D96" s="29">
        <v>75020</v>
      </c>
    </row>
    <row r="97" spans="3:4" ht="24.75" customHeight="1" x14ac:dyDescent="0.3">
      <c r="C97" s="28">
        <f>DATE(2003,4,1)</f>
        <v>37712</v>
      </c>
      <c r="D97" s="29">
        <v>88512</v>
      </c>
    </row>
    <row r="98" spans="3:4" ht="24.75" customHeight="1" x14ac:dyDescent="0.3">
      <c r="C98" s="28">
        <f>DATE(2003,5,1)</f>
        <v>37742</v>
      </c>
      <c r="D98" s="29">
        <v>74747</v>
      </c>
    </row>
    <row r="99" spans="3:4" ht="24.75" customHeight="1" x14ac:dyDescent="0.3">
      <c r="C99" s="28">
        <f>DATE(2003,6,1)</f>
        <v>37773</v>
      </c>
      <c r="D99" s="29">
        <v>75864</v>
      </c>
    </row>
    <row r="100" spans="3:4" ht="24.75" customHeight="1" x14ac:dyDescent="0.3">
      <c r="C100" s="28">
        <f>DATE(2003,7,1)</f>
        <v>37803</v>
      </c>
      <c r="D100" s="29">
        <v>72355</v>
      </c>
    </row>
    <row r="101" spans="3:4" ht="24.75" customHeight="1" x14ac:dyDescent="0.3">
      <c r="C101" s="28">
        <f>DATE(2003,8,1)</f>
        <v>37834</v>
      </c>
      <c r="D101" s="29">
        <v>76909</v>
      </c>
    </row>
    <row r="102" spans="3:4" ht="24.75" customHeight="1" x14ac:dyDescent="0.3">
      <c r="C102" s="28">
        <f>DATE(2003,9,1)</f>
        <v>37865</v>
      </c>
      <c r="D102" s="29">
        <v>82250</v>
      </c>
    </row>
    <row r="103" spans="3:4" ht="24" customHeight="1" x14ac:dyDescent="0.3">
      <c r="C103" s="28">
        <f>DATE(2003,10,1)</f>
        <v>37895</v>
      </c>
      <c r="D103" s="29">
        <v>89729</v>
      </c>
    </row>
    <row r="104" spans="3:4" ht="24.75" customHeight="1" x14ac:dyDescent="0.3">
      <c r="C104" s="28">
        <f>DATE(2003,11,1)</f>
        <v>37926</v>
      </c>
      <c r="D104" s="29">
        <v>82934</v>
      </c>
    </row>
    <row r="105" spans="3:4" ht="24.75" customHeight="1" x14ac:dyDescent="0.3">
      <c r="C105" s="28">
        <f>DATE(2003,12,1)</f>
        <v>37956</v>
      </c>
      <c r="D105" s="29">
        <v>89960</v>
      </c>
    </row>
    <row r="106" spans="3:4" ht="24.75" customHeight="1" thickBot="1" x14ac:dyDescent="0.35">
      <c r="C106" s="66"/>
      <c r="D106" s="66"/>
    </row>
    <row r="107" spans="3:4" ht="24.75" customHeight="1" thickBot="1" x14ac:dyDescent="0.35">
      <c r="C107" s="102" t="s">
        <v>155</v>
      </c>
      <c r="D107" s="52">
        <f>SUM(D94:D105)</f>
        <v>1016224</v>
      </c>
    </row>
    <row r="108" spans="3:4" ht="14.4" x14ac:dyDescent="0.3">
      <c r="C108" s="66"/>
      <c r="D108" s="66"/>
    </row>
    <row r="109" spans="3:4" ht="24.75" customHeight="1" x14ac:dyDescent="0.3">
      <c r="C109" s="28">
        <f>DATE(2004,1,1)</f>
        <v>37987</v>
      </c>
      <c r="D109" s="29">
        <v>101785</v>
      </c>
    </row>
    <row r="110" spans="3:4" ht="24.75" customHeight="1" x14ac:dyDescent="0.3">
      <c r="C110" s="28">
        <f>DATE(2004,2,1)</f>
        <v>38018</v>
      </c>
      <c r="D110" s="29">
        <v>76898</v>
      </c>
    </row>
    <row r="111" spans="3:4" ht="24.75" customHeight="1" x14ac:dyDescent="0.3">
      <c r="C111" s="28">
        <f>DATE(2004,3,1)</f>
        <v>38047</v>
      </c>
      <c r="D111" s="29">
        <v>99412</v>
      </c>
    </row>
    <row r="112" spans="3:4" ht="24.75" customHeight="1" x14ac:dyDescent="0.3">
      <c r="C112" s="28">
        <f>DATE(2004,4,1)</f>
        <v>38078</v>
      </c>
      <c r="D112" s="29">
        <v>57378</v>
      </c>
    </row>
    <row r="113" spans="3:4" ht="24.75" customHeight="1" x14ac:dyDescent="0.3">
      <c r="C113" s="28">
        <f>DATE(2004,5,1)</f>
        <v>38108</v>
      </c>
      <c r="D113" s="29">
        <v>54375</v>
      </c>
    </row>
    <row r="114" spans="3:4" ht="24.75" customHeight="1" x14ac:dyDescent="0.3">
      <c r="C114" s="28">
        <f>DATE(2004,6,1)</f>
        <v>38139</v>
      </c>
      <c r="D114" s="29">
        <v>52904</v>
      </c>
    </row>
    <row r="115" spans="3:4" ht="24.75" customHeight="1" x14ac:dyDescent="0.3">
      <c r="C115" s="28">
        <f>DATE(2004,7,1)</f>
        <v>38169</v>
      </c>
      <c r="D115" s="29">
        <v>82098</v>
      </c>
    </row>
    <row r="116" spans="3:4" ht="24.75" customHeight="1" x14ac:dyDescent="0.3">
      <c r="C116" s="28">
        <f>DATE(2004,8,1)</f>
        <v>38200</v>
      </c>
      <c r="D116" s="29">
        <v>52827</v>
      </c>
    </row>
    <row r="117" spans="3:4" ht="24.75" customHeight="1" x14ac:dyDescent="0.3">
      <c r="C117" s="28">
        <f>DATE(2004,9,1)</f>
        <v>38231</v>
      </c>
      <c r="D117" s="29">
        <v>80000</v>
      </c>
    </row>
    <row r="118" spans="3:4" ht="24.75" customHeight="1" x14ac:dyDescent="0.3">
      <c r="C118" s="28">
        <f>DATE(2004,10,1)</f>
        <v>38261</v>
      </c>
      <c r="D118" s="29">
        <v>63632</v>
      </c>
    </row>
    <row r="119" spans="3:4" ht="24.75" customHeight="1" x14ac:dyDescent="0.3">
      <c r="C119" s="28">
        <f>DATE(2004,11,1)</f>
        <v>38292</v>
      </c>
      <c r="D119" s="29">
        <v>43075</v>
      </c>
    </row>
    <row r="120" spans="3:4" ht="24.75" customHeight="1" x14ac:dyDescent="0.3">
      <c r="C120" s="28">
        <f>DATE(2004,12,1)</f>
        <v>38322</v>
      </c>
      <c r="D120" s="29">
        <v>86357</v>
      </c>
    </row>
    <row r="121" spans="3:4" ht="24.75" customHeight="1" thickBot="1" x14ac:dyDescent="0.35">
      <c r="C121" s="35"/>
      <c r="D121" s="35"/>
    </row>
    <row r="122" spans="3:4" ht="24.75" customHeight="1" thickBot="1" x14ac:dyDescent="0.35">
      <c r="C122" s="102" t="s">
        <v>155</v>
      </c>
      <c r="D122" s="103">
        <f>SUM(D109:D120)</f>
        <v>850741</v>
      </c>
    </row>
    <row r="123" spans="3:4" ht="14.4" x14ac:dyDescent="0.3">
      <c r="C123" s="35"/>
      <c r="D123" s="35"/>
    </row>
    <row r="124" spans="3:4" ht="24.9" customHeight="1" x14ac:dyDescent="0.3">
      <c r="C124" s="28">
        <f>DATE(2005,1,1)</f>
        <v>38353</v>
      </c>
      <c r="D124" s="29">
        <v>68240</v>
      </c>
    </row>
    <row r="125" spans="3:4" ht="24.9" customHeight="1" x14ac:dyDescent="0.3">
      <c r="C125" s="28">
        <f>DATE(2005,2,1)</f>
        <v>38384</v>
      </c>
      <c r="D125" s="29">
        <v>53477</v>
      </c>
    </row>
    <row r="126" spans="3:4" ht="24.9" customHeight="1" x14ac:dyDescent="0.3">
      <c r="C126" s="28">
        <f>DATE(2005,3,1)</f>
        <v>38412</v>
      </c>
      <c r="D126" s="29">
        <v>80790</v>
      </c>
    </row>
    <row r="127" spans="3:4" ht="24.9" customHeight="1" x14ac:dyDescent="0.3">
      <c r="C127" s="28">
        <f>DATE(2005,4,1)</f>
        <v>38443</v>
      </c>
      <c r="D127" s="29">
        <v>74184</v>
      </c>
    </row>
    <row r="128" spans="3:4" ht="24.9" customHeight="1" x14ac:dyDescent="0.3">
      <c r="C128" s="28">
        <f>DATE(2005,5,1)</f>
        <v>38473</v>
      </c>
      <c r="D128" s="29">
        <v>71178</v>
      </c>
    </row>
    <row r="129" spans="3:4" ht="24.9" customHeight="1" x14ac:dyDescent="0.3">
      <c r="C129" s="28">
        <f>DATE(2005,6,1)</f>
        <v>38504</v>
      </c>
      <c r="D129" s="29">
        <v>63057</v>
      </c>
    </row>
    <row r="130" spans="3:4" ht="24.9" customHeight="1" x14ac:dyDescent="0.3">
      <c r="C130" s="28">
        <f>DATE(2005,7,1)</f>
        <v>38534</v>
      </c>
      <c r="D130" s="29">
        <v>77000</v>
      </c>
    </row>
    <row r="131" spans="3:4" ht="24.9" customHeight="1" x14ac:dyDescent="0.3">
      <c r="C131" s="28">
        <f>DATE(2005,8,1)</f>
        <v>38565</v>
      </c>
      <c r="D131" s="29">
        <v>55725</v>
      </c>
    </row>
    <row r="132" spans="3:4" ht="24.9" customHeight="1" x14ac:dyDescent="0.3">
      <c r="C132" s="28">
        <f>DATE(2005,9,1)</f>
        <v>38596</v>
      </c>
      <c r="D132" s="29">
        <v>122700</v>
      </c>
    </row>
    <row r="133" spans="3:4" ht="24.9" customHeight="1" x14ac:dyDescent="0.3">
      <c r="C133" s="28">
        <f>DATE(2005,10,1)</f>
        <v>38626</v>
      </c>
      <c r="D133" s="29">
        <v>60955</v>
      </c>
    </row>
    <row r="134" spans="3:4" ht="24.9" customHeight="1" x14ac:dyDescent="0.3">
      <c r="C134" s="28">
        <f>DATE(2005,11,1)</f>
        <v>38657</v>
      </c>
      <c r="D134" s="29">
        <v>61050</v>
      </c>
    </row>
    <row r="135" spans="3:4" ht="24.9" customHeight="1" x14ac:dyDescent="0.3">
      <c r="C135" s="28">
        <f>DATE(2005,12,1)</f>
        <v>38687</v>
      </c>
      <c r="D135" s="29">
        <v>121425</v>
      </c>
    </row>
    <row r="136" spans="3:4" ht="24.9" customHeight="1" thickBot="1" x14ac:dyDescent="0.35">
      <c r="C136" s="35"/>
      <c r="D136" s="35"/>
    </row>
    <row r="137" spans="3:4" ht="24.9" customHeight="1" thickBot="1" x14ac:dyDescent="0.35">
      <c r="C137" s="102" t="s">
        <v>155</v>
      </c>
      <c r="D137" s="103">
        <f>SUM(D124:D135)</f>
        <v>909781</v>
      </c>
    </row>
    <row r="138" spans="3:4" ht="14.4" x14ac:dyDescent="0.3">
      <c r="C138" s="35"/>
      <c r="D138" s="35"/>
    </row>
    <row r="139" spans="3:4" ht="24.9" customHeight="1" x14ac:dyDescent="0.3">
      <c r="C139" s="28">
        <f>DATE(2006,1,1)</f>
        <v>38718</v>
      </c>
      <c r="D139" s="29">
        <v>78270</v>
      </c>
    </row>
    <row r="140" spans="3:4" ht="24.9" customHeight="1" x14ac:dyDescent="0.3">
      <c r="C140" s="28">
        <f>DATE(2006,2,1)</f>
        <v>38749</v>
      </c>
      <c r="D140" s="29">
        <v>73439</v>
      </c>
    </row>
    <row r="141" spans="3:4" ht="24.9" customHeight="1" x14ac:dyDescent="0.3">
      <c r="C141" s="28">
        <f>DATE(2006,3,1)</f>
        <v>38777</v>
      </c>
      <c r="D141" s="29">
        <v>97803</v>
      </c>
    </row>
    <row r="142" spans="3:4" ht="24.9" customHeight="1" x14ac:dyDescent="0.3">
      <c r="C142" s="28">
        <f>DATE(2006,4,1)</f>
        <v>38808</v>
      </c>
      <c r="D142" s="29">
        <v>63044</v>
      </c>
    </row>
    <row r="143" spans="3:4" ht="24.9" customHeight="1" x14ac:dyDescent="0.3">
      <c r="C143" s="28">
        <f>DATE(2006,5,1)</f>
        <v>38838</v>
      </c>
      <c r="D143" s="29">
        <v>51304</v>
      </c>
    </row>
    <row r="144" spans="3:4" ht="24.9" customHeight="1" x14ac:dyDescent="0.3">
      <c r="C144" s="28">
        <f>DATE(2006,6,1)</f>
        <v>38869</v>
      </c>
      <c r="D144" s="29">
        <v>163744</v>
      </c>
    </row>
    <row r="145" spans="3:4" ht="24.9" customHeight="1" x14ac:dyDescent="0.3">
      <c r="C145" s="28">
        <f>DATE(2006,7,1)</f>
        <v>38899</v>
      </c>
      <c r="D145" s="29">
        <v>74360</v>
      </c>
    </row>
    <row r="146" spans="3:4" ht="24.9" customHeight="1" x14ac:dyDescent="0.3">
      <c r="C146" s="28">
        <f>DATE(2006,8,1)</f>
        <v>38930</v>
      </c>
      <c r="D146" s="29">
        <v>52281</v>
      </c>
    </row>
    <row r="147" spans="3:4" ht="24.9" customHeight="1" x14ac:dyDescent="0.3">
      <c r="C147" s="28">
        <f>DATE(2006,9,1)</f>
        <v>38961</v>
      </c>
      <c r="D147" s="29">
        <v>79845</v>
      </c>
    </row>
    <row r="148" spans="3:4" ht="24.9" customHeight="1" x14ac:dyDescent="0.3">
      <c r="C148" s="28">
        <f>DATE(2006,10,1)</f>
        <v>38991</v>
      </c>
      <c r="D148" s="29">
        <v>67822</v>
      </c>
    </row>
    <row r="149" spans="3:4" ht="24.9" customHeight="1" x14ac:dyDescent="0.3">
      <c r="C149" s="28">
        <f>DATE(2006,11,1)</f>
        <v>39022</v>
      </c>
      <c r="D149" s="29">
        <v>81771</v>
      </c>
    </row>
    <row r="150" spans="3:4" ht="24.9" customHeight="1" x14ac:dyDescent="0.3">
      <c r="C150" s="28">
        <f>DATE(2006,12,1)</f>
        <v>39052</v>
      </c>
      <c r="D150" s="29">
        <v>90852</v>
      </c>
    </row>
    <row r="151" spans="3:4" ht="24.9" customHeight="1" thickBot="1" x14ac:dyDescent="0.35">
      <c r="C151" s="43"/>
      <c r="D151" s="43"/>
    </row>
    <row r="152" spans="3:4" ht="24.9" customHeight="1" thickBot="1" x14ac:dyDescent="0.35">
      <c r="C152" s="104" t="s">
        <v>155</v>
      </c>
      <c r="D152" s="60">
        <f>SUM(D139:D150)</f>
        <v>974535</v>
      </c>
    </row>
    <row r="153" spans="3:4" ht="14.4" x14ac:dyDescent="0.3">
      <c r="C153" s="105"/>
      <c r="D153" s="35"/>
    </row>
    <row r="154" spans="3:4" ht="24.9" customHeight="1" x14ac:dyDescent="0.3">
      <c r="C154" s="28">
        <f>DATE(2007,1,1)</f>
        <v>39083</v>
      </c>
      <c r="D154" s="29">
        <v>63775</v>
      </c>
    </row>
    <row r="155" spans="3:4" ht="24.9" customHeight="1" x14ac:dyDescent="0.3">
      <c r="C155" s="28">
        <f>DATE(2007,2,1)</f>
        <v>39114</v>
      </c>
      <c r="D155" s="29">
        <v>101795</v>
      </c>
    </row>
    <row r="156" spans="3:4" ht="24.9" customHeight="1" x14ac:dyDescent="0.3">
      <c r="C156" s="28">
        <f>DATE(2007,3,1)</f>
        <v>39142</v>
      </c>
      <c r="D156" s="29">
        <v>56574</v>
      </c>
    </row>
    <row r="157" spans="3:4" ht="24.9" customHeight="1" x14ac:dyDescent="0.3">
      <c r="C157" s="28">
        <f>DATE(2007,4,1)</f>
        <v>39173</v>
      </c>
      <c r="D157" s="29">
        <v>72170</v>
      </c>
    </row>
    <row r="158" spans="3:4" ht="24.9" customHeight="1" x14ac:dyDescent="0.3">
      <c r="C158" s="28">
        <f>DATE(2007,5,1)</f>
        <v>39203</v>
      </c>
      <c r="D158" s="29">
        <v>61648</v>
      </c>
    </row>
    <row r="159" spans="3:4" ht="24.9" customHeight="1" x14ac:dyDescent="0.3">
      <c r="C159" s="28">
        <f>DATE(2007,6,1)</f>
        <v>39234</v>
      </c>
      <c r="D159" s="29">
        <v>80069</v>
      </c>
    </row>
    <row r="160" spans="3:4" ht="24.9" customHeight="1" x14ac:dyDescent="0.3">
      <c r="C160" s="28">
        <f>DATE(2007,7,1)</f>
        <v>39264</v>
      </c>
      <c r="D160" s="29">
        <v>72596</v>
      </c>
    </row>
    <row r="161" spans="3:4" ht="24.9" customHeight="1" x14ac:dyDescent="0.3">
      <c r="C161" s="28">
        <f>DATE(2007,8,1)</f>
        <v>39295</v>
      </c>
      <c r="D161" s="29">
        <v>68495</v>
      </c>
    </row>
    <row r="162" spans="3:4" ht="24.9" customHeight="1" x14ac:dyDescent="0.3">
      <c r="C162" s="28">
        <f>DATE(2007,9,1)</f>
        <v>39326</v>
      </c>
      <c r="D162" s="29">
        <v>63043</v>
      </c>
    </row>
    <row r="163" spans="3:4" ht="24.9" customHeight="1" x14ac:dyDescent="0.3">
      <c r="C163" s="28">
        <f>DATE(2007,10,1)</f>
        <v>39356</v>
      </c>
      <c r="D163" s="29">
        <v>83287</v>
      </c>
    </row>
    <row r="164" spans="3:4" ht="24.9" customHeight="1" x14ac:dyDescent="0.3">
      <c r="C164" s="28">
        <f>DATE(2007,11,1)</f>
        <v>39387</v>
      </c>
      <c r="D164" s="29">
        <v>70842</v>
      </c>
    </row>
    <row r="165" spans="3:4" ht="24.9" customHeight="1" x14ac:dyDescent="0.3">
      <c r="C165" s="28">
        <f>DATE(2007,12,1)</f>
        <v>39417</v>
      </c>
      <c r="D165" s="29">
        <v>88347</v>
      </c>
    </row>
    <row r="166" spans="3:4" ht="24.9" customHeight="1" thickBot="1" x14ac:dyDescent="0.35">
      <c r="C166" s="43"/>
      <c r="D166" s="43"/>
    </row>
    <row r="167" spans="3:4" ht="24.9" customHeight="1" thickBot="1" x14ac:dyDescent="0.35">
      <c r="C167" s="104" t="s">
        <v>155</v>
      </c>
      <c r="D167" s="64">
        <f>SUM(D154:D165)</f>
        <v>882641</v>
      </c>
    </row>
    <row r="168" spans="3:4" ht="14.4" x14ac:dyDescent="0.3">
      <c r="C168" s="35"/>
      <c r="D168" s="35"/>
    </row>
    <row r="169" spans="3:4" ht="21.9" customHeight="1" x14ac:dyDescent="0.3">
      <c r="C169" s="28">
        <f>DATE(2008,1,1)</f>
        <v>39448</v>
      </c>
      <c r="D169" s="29">
        <v>58163</v>
      </c>
    </row>
    <row r="170" spans="3:4" ht="21.9" customHeight="1" x14ac:dyDescent="0.3">
      <c r="C170" s="28">
        <f>DATE(2008,2,1)</f>
        <v>39479</v>
      </c>
      <c r="D170" s="29">
        <v>86864</v>
      </c>
    </row>
    <row r="171" spans="3:4" ht="21.9" customHeight="1" x14ac:dyDescent="0.3">
      <c r="C171" s="28">
        <f>DATE(2008,3,1)</f>
        <v>39508</v>
      </c>
      <c r="D171" s="29">
        <v>48288</v>
      </c>
    </row>
    <row r="172" spans="3:4" ht="21.9" customHeight="1" x14ac:dyDescent="0.3">
      <c r="C172" s="28">
        <f>DATE(2008,4,1)</f>
        <v>39539</v>
      </c>
      <c r="D172" s="29">
        <v>76722</v>
      </c>
    </row>
    <row r="173" spans="3:4" ht="21.9" customHeight="1" x14ac:dyDescent="0.3">
      <c r="C173" s="28">
        <f>DATE(2008,5,1)</f>
        <v>39569</v>
      </c>
      <c r="D173" s="29">
        <v>50730</v>
      </c>
    </row>
    <row r="174" spans="3:4" ht="21.9" customHeight="1" x14ac:dyDescent="0.3">
      <c r="C174" s="28">
        <f>DATE(2008,6,1)</f>
        <v>39600</v>
      </c>
      <c r="D174" s="29">
        <v>52100</v>
      </c>
    </row>
    <row r="175" spans="3:4" ht="21.9" customHeight="1" x14ac:dyDescent="0.3">
      <c r="C175" s="28">
        <f>DATE(2008,7,1)</f>
        <v>39630</v>
      </c>
      <c r="D175" s="29">
        <v>43841</v>
      </c>
    </row>
    <row r="176" spans="3:4" ht="21.9" customHeight="1" x14ac:dyDescent="0.3">
      <c r="C176" s="28">
        <f>DATE(2008,8,1)</f>
        <v>39661</v>
      </c>
      <c r="D176" s="29">
        <v>62581</v>
      </c>
    </row>
    <row r="177" spans="3:4" ht="21.9" customHeight="1" x14ac:dyDescent="0.3">
      <c r="C177" s="28">
        <f>DATE(2008,9,1)</f>
        <v>39692</v>
      </c>
      <c r="D177" s="29">
        <v>53720</v>
      </c>
    </row>
    <row r="178" spans="3:4" ht="21.9" customHeight="1" x14ac:dyDescent="0.3">
      <c r="C178" s="28">
        <f>DATE(2008,10,1)</f>
        <v>39722</v>
      </c>
      <c r="D178" s="29">
        <v>60921</v>
      </c>
    </row>
    <row r="179" spans="3:4" ht="21.9" customHeight="1" x14ac:dyDescent="0.3">
      <c r="C179" s="28">
        <f>DATE(2008,11,1)</f>
        <v>39753</v>
      </c>
      <c r="D179" s="29">
        <v>53886</v>
      </c>
    </row>
    <row r="180" spans="3:4" ht="21.9" customHeight="1" x14ac:dyDescent="0.3">
      <c r="C180" s="28">
        <f>DATE(2008,12,1)</f>
        <v>39783</v>
      </c>
      <c r="D180" s="29">
        <v>83282</v>
      </c>
    </row>
    <row r="181" spans="3:4" ht="21.9" customHeight="1" thickBot="1" x14ac:dyDescent="0.35">
      <c r="C181" s="43"/>
      <c r="D181" s="43"/>
    </row>
    <row r="182" spans="3:4" ht="21.9" customHeight="1" thickBot="1" x14ac:dyDescent="0.35">
      <c r="C182" s="104" t="s">
        <v>155</v>
      </c>
      <c r="D182" s="64">
        <f>SUM(D169:D180)</f>
        <v>731098</v>
      </c>
    </row>
    <row r="183" spans="3:4" ht="14.4" x14ac:dyDescent="0.3">
      <c r="C183" s="35"/>
      <c r="D183" s="35"/>
    </row>
    <row r="184" spans="3:4" ht="14.4" x14ac:dyDescent="0.3">
      <c r="C184" s="35"/>
      <c r="D184" s="35"/>
    </row>
    <row r="185" spans="3:4" ht="14.4" x14ac:dyDescent="0.3">
      <c r="C185" s="35"/>
      <c r="D185" s="35"/>
    </row>
    <row r="186" spans="3:4" ht="24" customHeight="1" x14ac:dyDescent="0.3">
      <c r="C186" s="28">
        <f>DATE(2009,1,1)</f>
        <v>39814</v>
      </c>
      <c r="D186" s="29">
        <v>66630</v>
      </c>
    </row>
    <row r="187" spans="3:4" ht="24" customHeight="1" x14ac:dyDescent="0.3">
      <c r="C187" s="28">
        <f>DATE(2009,2,1)</f>
        <v>39845</v>
      </c>
      <c r="D187" s="29">
        <v>52047</v>
      </c>
    </row>
    <row r="188" spans="3:4" ht="24" customHeight="1" x14ac:dyDescent="0.3">
      <c r="C188" s="28">
        <f>DATE(2009,3,1)</f>
        <v>39873</v>
      </c>
      <c r="D188" s="29">
        <v>72417</v>
      </c>
    </row>
    <row r="189" spans="3:4" ht="24" customHeight="1" x14ac:dyDescent="0.3">
      <c r="C189" s="28">
        <f>DATE(2009,4,1)</f>
        <v>39904</v>
      </c>
      <c r="D189" s="29">
        <v>45992</v>
      </c>
    </row>
    <row r="190" spans="3:4" ht="24" customHeight="1" x14ac:dyDescent="0.3">
      <c r="C190" s="28">
        <f>DATE(2009,5,1)</f>
        <v>39934</v>
      </c>
      <c r="D190" s="29">
        <v>52964</v>
      </c>
    </row>
    <row r="191" spans="3:4" ht="24" customHeight="1" x14ac:dyDescent="0.3">
      <c r="C191" s="28">
        <f>DATE(2009,6,1)</f>
        <v>39965</v>
      </c>
      <c r="D191" s="29">
        <v>78097</v>
      </c>
    </row>
    <row r="192" spans="3:4" ht="24" customHeight="1" x14ac:dyDescent="0.3">
      <c r="C192" s="28">
        <f>DATE(2009,7,1)</f>
        <v>39995</v>
      </c>
      <c r="D192" s="29">
        <v>58399</v>
      </c>
    </row>
    <row r="193" spans="3:4" ht="24" customHeight="1" x14ac:dyDescent="0.3">
      <c r="C193" s="28">
        <f>DATE(2009,8,1)</f>
        <v>40026</v>
      </c>
      <c r="D193" s="29">
        <v>68811</v>
      </c>
    </row>
    <row r="194" spans="3:4" ht="24" customHeight="1" x14ac:dyDescent="0.3">
      <c r="C194" s="28">
        <f>DATE(2009,9,1)</f>
        <v>40057</v>
      </c>
      <c r="D194" s="29">
        <v>77952</v>
      </c>
    </row>
    <row r="195" spans="3:4" ht="24" customHeight="1" x14ac:dyDescent="0.3">
      <c r="C195" s="28">
        <f>DATE(2009,10,1)</f>
        <v>40087</v>
      </c>
      <c r="D195" s="29">
        <v>52237</v>
      </c>
    </row>
    <row r="196" spans="3:4" ht="24" customHeight="1" x14ac:dyDescent="0.3">
      <c r="C196" s="28">
        <f>DATE(2009,11,1)</f>
        <v>40118</v>
      </c>
      <c r="D196" s="29">
        <v>68058</v>
      </c>
    </row>
    <row r="197" spans="3:4" ht="24" customHeight="1" x14ac:dyDescent="0.3">
      <c r="C197" s="28">
        <f>DATE(2009,12,1)</f>
        <v>40148</v>
      </c>
      <c r="D197" s="29">
        <v>47531</v>
      </c>
    </row>
    <row r="198" spans="3:4" ht="15" thickBot="1" x14ac:dyDescent="0.35">
      <c r="C198" s="43"/>
      <c r="D198" s="43"/>
    </row>
    <row r="199" spans="3:4" ht="15" thickBot="1" x14ac:dyDescent="0.35">
      <c r="C199" s="104" t="s">
        <v>155</v>
      </c>
      <c r="D199" s="64">
        <f>SUM(D186:D197)</f>
        <v>741135</v>
      </c>
    </row>
    <row r="200" spans="3:4" ht="14.4" x14ac:dyDescent="0.3">
      <c r="C200" s="35"/>
      <c r="D200" s="35"/>
    </row>
    <row r="201" spans="3:4" ht="14.4" x14ac:dyDescent="0.3">
      <c r="C201" s="35"/>
      <c r="D201" s="35"/>
    </row>
    <row r="202" spans="3:4" ht="14.4" x14ac:dyDescent="0.3">
      <c r="C202" s="35"/>
      <c r="D202" s="35"/>
    </row>
    <row r="203" spans="3:4" ht="24" customHeight="1" x14ac:dyDescent="0.3">
      <c r="C203" s="28">
        <f>DATE(2010,1,1)</f>
        <v>40179</v>
      </c>
      <c r="D203" s="29">
        <v>91147</v>
      </c>
    </row>
    <row r="204" spans="3:4" ht="24" customHeight="1" x14ac:dyDescent="0.3">
      <c r="C204" s="28">
        <f>DATE(2010,2,1)</f>
        <v>40210</v>
      </c>
      <c r="D204" s="29">
        <v>69927</v>
      </c>
    </row>
    <row r="205" spans="3:4" ht="24" customHeight="1" x14ac:dyDescent="0.3">
      <c r="C205" s="28">
        <f>DATE(2010,3,1)</f>
        <v>40238</v>
      </c>
      <c r="D205" s="29">
        <v>34306</v>
      </c>
    </row>
    <row r="206" spans="3:4" ht="24" customHeight="1" x14ac:dyDescent="0.3">
      <c r="C206" s="28">
        <f>DATE(2010,4,1)</f>
        <v>40269</v>
      </c>
      <c r="D206" s="29">
        <v>71410</v>
      </c>
    </row>
    <row r="207" spans="3:4" ht="24" customHeight="1" x14ac:dyDescent="0.3">
      <c r="C207" s="28">
        <f>DATE(2010,5,1)</f>
        <v>40299</v>
      </c>
      <c r="D207" s="29">
        <v>70206</v>
      </c>
    </row>
    <row r="208" spans="3:4" ht="24" customHeight="1" x14ac:dyDescent="0.3">
      <c r="C208" s="28">
        <f>DATE(2010,6,1)</f>
        <v>40330</v>
      </c>
      <c r="D208" s="29">
        <v>26389</v>
      </c>
    </row>
    <row r="209" spans="3:4" ht="24" customHeight="1" x14ac:dyDescent="0.3">
      <c r="C209" s="28">
        <f>DATE(2010,7,1)</f>
        <v>40360</v>
      </c>
      <c r="D209" s="29">
        <v>62425</v>
      </c>
    </row>
    <row r="210" spans="3:4" ht="24" customHeight="1" x14ac:dyDescent="0.3">
      <c r="C210" s="28">
        <f>DATE(2010,8,1)</f>
        <v>40391</v>
      </c>
      <c r="D210" s="29">
        <v>27774</v>
      </c>
    </row>
    <row r="211" spans="3:4" ht="24" customHeight="1" x14ac:dyDescent="0.3">
      <c r="C211" s="28">
        <f>DATE(2010,9,1)</f>
        <v>40422</v>
      </c>
      <c r="D211" s="29">
        <v>39969</v>
      </c>
    </row>
    <row r="212" spans="3:4" ht="24" customHeight="1" x14ac:dyDescent="0.3">
      <c r="C212" s="28">
        <f>DATE(2010,10,1)</f>
        <v>40452</v>
      </c>
      <c r="D212" s="29">
        <v>72768</v>
      </c>
    </row>
    <row r="213" spans="3:4" ht="24" customHeight="1" x14ac:dyDescent="0.3">
      <c r="C213" s="28">
        <f>DATE(2010,11,1)</f>
        <v>40483</v>
      </c>
      <c r="D213" s="29">
        <v>50742</v>
      </c>
    </row>
    <row r="214" spans="3:4" ht="24" customHeight="1" x14ac:dyDescent="0.3">
      <c r="C214" s="28">
        <f>DATE(2010,12,1)</f>
        <v>40513</v>
      </c>
      <c r="D214" s="29">
        <v>60599</v>
      </c>
    </row>
    <row r="215" spans="3:4" ht="24" customHeight="1" thickBot="1" x14ac:dyDescent="0.35">
      <c r="C215" s="43"/>
      <c r="D215" s="43"/>
    </row>
    <row r="216" spans="3:4" ht="24" customHeight="1" thickBot="1" x14ac:dyDescent="0.35">
      <c r="C216" s="104" t="s">
        <v>155</v>
      </c>
      <c r="D216" s="64">
        <f>SUM(D203:D214)</f>
        <v>677662</v>
      </c>
    </row>
    <row r="217" spans="3:4" ht="14.4" x14ac:dyDescent="0.3">
      <c r="C217" s="35"/>
      <c r="D217" s="35"/>
    </row>
    <row r="218" spans="3:4" ht="14.4" x14ac:dyDescent="0.3">
      <c r="C218" s="35"/>
      <c r="D218" s="35"/>
    </row>
    <row r="219" spans="3:4" ht="14.4" x14ac:dyDescent="0.3">
      <c r="C219" s="35"/>
      <c r="D219" s="35"/>
    </row>
    <row r="220" spans="3:4" ht="24" customHeight="1" x14ac:dyDescent="0.3">
      <c r="C220" s="28">
        <f>DATE(2011,1,1)</f>
        <v>40544</v>
      </c>
      <c r="D220" s="29">
        <v>19641</v>
      </c>
    </row>
    <row r="221" spans="3:4" ht="24" customHeight="1" x14ac:dyDescent="0.3">
      <c r="C221" s="28">
        <f>DATE(2011,2,1)</f>
        <v>40575</v>
      </c>
      <c r="D221" s="29">
        <v>30805</v>
      </c>
    </row>
    <row r="222" spans="3:4" ht="24" customHeight="1" x14ac:dyDescent="0.3">
      <c r="C222" s="28">
        <f>DATE(2011,3,1)</f>
        <v>40603</v>
      </c>
      <c r="D222" s="29">
        <v>25464</v>
      </c>
    </row>
    <row r="223" spans="3:4" ht="24" customHeight="1" x14ac:dyDescent="0.3">
      <c r="C223" s="28">
        <f>DATE(2011,4,1)</f>
        <v>40634</v>
      </c>
      <c r="D223" s="29">
        <v>77810</v>
      </c>
    </row>
    <row r="224" spans="3:4" ht="24" customHeight="1" x14ac:dyDescent="0.3">
      <c r="C224" s="28">
        <f>DATE(2011,5,1)</f>
        <v>40664</v>
      </c>
      <c r="D224" s="29">
        <v>22614</v>
      </c>
    </row>
    <row r="225" spans="3:4" ht="24" customHeight="1" x14ac:dyDescent="0.3">
      <c r="C225" s="28">
        <f>DATE(2011,6,1)</f>
        <v>40695</v>
      </c>
      <c r="D225" s="29">
        <v>43200</v>
      </c>
    </row>
    <row r="226" spans="3:4" ht="24" customHeight="1" x14ac:dyDescent="0.3">
      <c r="C226" s="28">
        <f>DATE(2011,7,1)</f>
        <v>40725</v>
      </c>
      <c r="D226" s="29">
        <v>16441</v>
      </c>
    </row>
    <row r="227" spans="3:4" ht="24" customHeight="1" x14ac:dyDescent="0.3">
      <c r="C227" s="28">
        <f>DATE(2011,8,1)</f>
        <v>40756</v>
      </c>
      <c r="D227" s="29">
        <v>51738</v>
      </c>
    </row>
    <row r="228" spans="3:4" ht="24" customHeight="1" x14ac:dyDescent="0.3">
      <c r="C228" s="28">
        <f>DATE(2011,9,1)</f>
        <v>40787</v>
      </c>
      <c r="D228" s="29">
        <v>44708</v>
      </c>
    </row>
    <row r="229" spans="3:4" ht="24" customHeight="1" x14ac:dyDescent="0.3">
      <c r="C229" s="28">
        <f>DATE(2011,10,1)</f>
        <v>40817</v>
      </c>
      <c r="D229" s="29">
        <v>15186</v>
      </c>
    </row>
    <row r="230" spans="3:4" ht="24" customHeight="1" x14ac:dyDescent="0.3">
      <c r="C230" s="28">
        <f>DATE(2011,11,1)</f>
        <v>40848</v>
      </c>
      <c r="D230" s="29">
        <v>16817</v>
      </c>
    </row>
    <row r="231" spans="3:4" ht="24" customHeight="1" x14ac:dyDescent="0.3">
      <c r="C231" s="28">
        <f>DATE(2011,12,1)</f>
        <v>40878</v>
      </c>
      <c r="D231" s="29">
        <v>62033</v>
      </c>
    </row>
    <row r="232" spans="3:4" ht="24" customHeight="1" thickBot="1" x14ac:dyDescent="0.35">
      <c r="C232" s="43"/>
      <c r="D232" s="43"/>
    </row>
    <row r="233" spans="3:4" ht="24" customHeight="1" thickBot="1" x14ac:dyDescent="0.35">
      <c r="C233" s="104" t="s">
        <v>155</v>
      </c>
      <c r="D233" s="64">
        <f>SUM(D220:D231)</f>
        <v>426457</v>
      </c>
    </row>
    <row r="234" spans="3:4" ht="14.4" x14ac:dyDescent="0.3">
      <c r="C234" s="35"/>
      <c r="D234" s="35"/>
    </row>
    <row r="235" spans="3:4" ht="14.4" x14ac:dyDescent="0.3">
      <c r="C235" s="35"/>
      <c r="D235" s="35"/>
    </row>
    <row r="236" spans="3:4" ht="14.4" x14ac:dyDescent="0.3">
      <c r="C236" s="35"/>
      <c r="D236" s="35"/>
    </row>
    <row r="237" spans="3:4" ht="24" customHeight="1" x14ac:dyDescent="0.3">
      <c r="C237" s="28">
        <f>DATE(2012,1,1)</f>
        <v>40909</v>
      </c>
      <c r="D237" s="29">
        <v>34509</v>
      </c>
    </row>
    <row r="238" spans="3:4" ht="24" customHeight="1" x14ac:dyDescent="0.3">
      <c r="C238" s="28">
        <f>DATE(2012,2,1)</f>
        <v>40940</v>
      </c>
      <c r="D238" s="29">
        <v>25605</v>
      </c>
    </row>
    <row r="239" spans="3:4" ht="24" customHeight="1" x14ac:dyDescent="0.3">
      <c r="C239" s="28">
        <f>DATE(2012,3,1)</f>
        <v>40969</v>
      </c>
      <c r="D239" s="29">
        <v>37458</v>
      </c>
    </row>
    <row r="240" spans="3:4" ht="24" customHeight="1" x14ac:dyDescent="0.3">
      <c r="C240" s="28">
        <f>DATE(2012,4,1)</f>
        <v>41000</v>
      </c>
      <c r="D240" s="29">
        <v>29990</v>
      </c>
    </row>
    <row r="241" spans="3:4" ht="24" customHeight="1" x14ac:dyDescent="0.3">
      <c r="C241" s="28">
        <f>DATE(2012,5,1)</f>
        <v>41030</v>
      </c>
      <c r="D241" s="29">
        <v>25708</v>
      </c>
    </row>
    <row r="242" spans="3:4" ht="24" customHeight="1" x14ac:dyDescent="0.3">
      <c r="C242" s="28">
        <f>DATE(2012,6,1)</f>
        <v>41061</v>
      </c>
      <c r="D242" s="49">
        <v>12704</v>
      </c>
    </row>
    <row r="243" spans="3:4" ht="24" customHeight="1" x14ac:dyDescent="0.3">
      <c r="C243" s="28">
        <f>DATE(2012,7,1)</f>
        <v>41091</v>
      </c>
      <c r="D243" s="29">
        <v>54299</v>
      </c>
    </row>
    <row r="244" spans="3:4" ht="24" customHeight="1" x14ac:dyDescent="0.3">
      <c r="C244" s="28">
        <f>DATE(2012,8,1)</f>
        <v>41122</v>
      </c>
      <c r="D244" s="29">
        <v>44195</v>
      </c>
    </row>
    <row r="245" spans="3:4" ht="24" customHeight="1" x14ac:dyDescent="0.3">
      <c r="C245" s="28">
        <f>DATE(2012,9,1)</f>
        <v>41153</v>
      </c>
      <c r="D245" s="29">
        <v>43610</v>
      </c>
    </row>
    <row r="246" spans="3:4" ht="24" customHeight="1" x14ac:dyDescent="0.3">
      <c r="C246" s="28">
        <f>DATE(2012,10,1)</f>
        <v>41183</v>
      </c>
      <c r="D246" s="29">
        <v>14819</v>
      </c>
    </row>
    <row r="247" spans="3:4" ht="24" customHeight="1" x14ac:dyDescent="0.3">
      <c r="C247" s="28">
        <f>DATE(2012,11,1)</f>
        <v>41214</v>
      </c>
      <c r="D247" s="29">
        <v>38875</v>
      </c>
    </row>
    <row r="248" spans="3:4" ht="24" customHeight="1" x14ac:dyDescent="0.3">
      <c r="C248" s="28">
        <f>DATE(2012,12,1)</f>
        <v>41244</v>
      </c>
      <c r="D248" s="29">
        <v>35343</v>
      </c>
    </row>
    <row r="249" spans="3:4" ht="24" customHeight="1" thickBot="1" x14ac:dyDescent="0.35">
      <c r="C249" s="43"/>
      <c r="D249" s="43"/>
    </row>
    <row r="250" spans="3:4" ht="24" customHeight="1" thickBot="1" x14ac:dyDescent="0.35">
      <c r="C250" s="104" t="s">
        <v>155</v>
      </c>
      <c r="D250" s="64">
        <f>SUM(D237:D248)</f>
        <v>397115</v>
      </c>
    </row>
    <row r="251" spans="3:4" ht="24" customHeight="1" x14ac:dyDescent="0.3">
      <c r="C251" s="35"/>
      <c r="D251" s="35"/>
    </row>
    <row r="252" spans="3:4" ht="24" customHeight="1" x14ac:dyDescent="0.3">
      <c r="C252" s="28">
        <f>DATE(2013,1,1)</f>
        <v>41275</v>
      </c>
      <c r="D252" s="29">
        <v>32563</v>
      </c>
    </row>
    <row r="253" spans="3:4" ht="24" customHeight="1" x14ac:dyDescent="0.3">
      <c r="C253" s="28">
        <f>DATE(2013,2,1)</f>
        <v>41306</v>
      </c>
      <c r="D253" s="29">
        <v>61494</v>
      </c>
    </row>
    <row r="254" spans="3:4" ht="24" customHeight="1" x14ac:dyDescent="0.3">
      <c r="C254" s="28">
        <f>DATE(2013,3,1)</f>
        <v>41334</v>
      </c>
      <c r="D254" s="29">
        <v>24113</v>
      </c>
    </row>
    <row r="255" spans="3:4" ht="24" customHeight="1" x14ac:dyDescent="0.3">
      <c r="C255" s="28">
        <f>DATE(2013,4,1)</f>
        <v>41365</v>
      </c>
      <c r="D255" s="29">
        <v>38183</v>
      </c>
    </row>
    <row r="256" spans="3:4" ht="24" customHeight="1" x14ac:dyDescent="0.3">
      <c r="C256" s="28">
        <f>DATE(2013,5,1)</f>
        <v>41395</v>
      </c>
      <c r="D256" s="29">
        <v>34125</v>
      </c>
    </row>
    <row r="257" spans="3:4" ht="24" customHeight="1" x14ac:dyDescent="0.3">
      <c r="C257" s="28">
        <f>DATE(2013,6,1)</f>
        <v>41426</v>
      </c>
      <c r="D257" s="29">
        <v>31493</v>
      </c>
    </row>
    <row r="258" spans="3:4" ht="24" customHeight="1" x14ac:dyDescent="0.3">
      <c r="C258" s="28">
        <f>DATE(2013,7,1)</f>
        <v>41456</v>
      </c>
      <c r="D258" s="29">
        <v>43285</v>
      </c>
    </row>
    <row r="259" spans="3:4" ht="24" customHeight="1" x14ac:dyDescent="0.3">
      <c r="C259" s="28">
        <f>DATE(2013,8,1)</f>
        <v>41487</v>
      </c>
      <c r="D259" s="29">
        <v>23846</v>
      </c>
    </row>
    <row r="260" spans="3:4" ht="24" customHeight="1" x14ac:dyDescent="0.3">
      <c r="C260" s="28">
        <f>DATE(2013,9,1)</f>
        <v>41518</v>
      </c>
      <c r="D260" s="29">
        <v>41632</v>
      </c>
    </row>
    <row r="261" spans="3:4" ht="24" customHeight="1" x14ac:dyDescent="0.3">
      <c r="C261" s="28">
        <f>DATE(2013,10,1)</f>
        <v>41548</v>
      </c>
      <c r="D261" s="29">
        <v>34104</v>
      </c>
    </row>
    <row r="262" spans="3:4" ht="24" customHeight="1" x14ac:dyDescent="0.3">
      <c r="C262" s="28">
        <f>DATE(2013,11,1)</f>
        <v>41579</v>
      </c>
      <c r="D262" s="29">
        <v>35475</v>
      </c>
    </row>
    <row r="263" spans="3:4" ht="24" customHeight="1" x14ac:dyDescent="0.3">
      <c r="C263" s="28">
        <f>DATE(2013,12,1)</f>
        <v>41609</v>
      </c>
      <c r="D263" s="29">
        <v>12739</v>
      </c>
    </row>
    <row r="264" spans="3:4" ht="24" customHeight="1" thickBot="1" x14ac:dyDescent="0.35">
      <c r="C264" s="43"/>
      <c r="D264" s="43"/>
    </row>
    <row r="265" spans="3:4" ht="24" customHeight="1" thickBot="1" x14ac:dyDescent="0.35">
      <c r="C265" s="104" t="s">
        <v>155</v>
      </c>
      <c r="D265" s="64">
        <f>SUM(D252:D263)</f>
        <v>413052</v>
      </c>
    </row>
    <row r="267" spans="3:4" ht="14.4" x14ac:dyDescent="0.3">
      <c r="C267" s="28">
        <f>DATE(2014,1,1)</f>
        <v>41640</v>
      </c>
      <c r="D267" s="29">
        <v>59330</v>
      </c>
    </row>
    <row r="268" spans="3:4" ht="14.4" x14ac:dyDescent="0.3">
      <c r="C268" s="28">
        <f>DATE(2014,2,1)</f>
        <v>41671</v>
      </c>
      <c r="D268" s="29">
        <v>32297</v>
      </c>
    </row>
    <row r="269" spans="3:4" ht="14.4" x14ac:dyDescent="0.3">
      <c r="C269" s="28">
        <f>DATE(2014,3,1)</f>
        <v>41699</v>
      </c>
      <c r="D269" s="29">
        <v>32734</v>
      </c>
    </row>
    <row r="270" spans="3:4" ht="14.4" x14ac:dyDescent="0.3">
      <c r="C270" s="28">
        <f>DATE(2014,4,1)</f>
        <v>41730</v>
      </c>
      <c r="D270" s="29">
        <v>36948</v>
      </c>
    </row>
    <row r="271" spans="3:4" ht="14.4" x14ac:dyDescent="0.3">
      <c r="C271" s="28">
        <f>DATE(2014,5,1)</f>
        <v>41760</v>
      </c>
      <c r="D271" s="29">
        <v>22769</v>
      </c>
    </row>
    <row r="272" spans="3:4" ht="14.4" x14ac:dyDescent="0.3">
      <c r="C272" s="28">
        <f>DATE(2014,6,1)</f>
        <v>41791</v>
      </c>
      <c r="D272" s="29">
        <v>18654</v>
      </c>
    </row>
    <row r="273" spans="3:4" ht="14.4" x14ac:dyDescent="0.3">
      <c r="C273" s="28">
        <f>DATE(2014,7,1)</f>
        <v>41821</v>
      </c>
      <c r="D273" s="29">
        <v>47900</v>
      </c>
    </row>
    <row r="274" spans="3:4" ht="14.4" x14ac:dyDescent="0.3">
      <c r="C274" s="28">
        <f>DATE(2014,8,1)</f>
        <v>41852</v>
      </c>
      <c r="D274" s="29">
        <v>17911</v>
      </c>
    </row>
    <row r="275" spans="3:4" ht="14.4" x14ac:dyDescent="0.3">
      <c r="C275" s="28">
        <f>DATE(2014,9,1)</f>
        <v>41883</v>
      </c>
      <c r="D275" s="29">
        <v>21789</v>
      </c>
    </row>
    <row r="276" spans="3:4" ht="14.4" x14ac:dyDescent="0.3">
      <c r="C276" s="28">
        <f>DATE(2014,10,1)</f>
        <v>41913</v>
      </c>
      <c r="D276" s="29">
        <v>42860</v>
      </c>
    </row>
    <row r="277" spans="3:4" ht="14.4" x14ac:dyDescent="0.3">
      <c r="C277" s="28">
        <f>DATE(2014,11,1)</f>
        <v>41944</v>
      </c>
      <c r="D277" s="29">
        <v>27125</v>
      </c>
    </row>
    <row r="278" spans="3:4" ht="14.4" x14ac:dyDescent="0.3">
      <c r="C278" s="28">
        <f>DATE(2014,12,1)</f>
        <v>41974</v>
      </c>
      <c r="D278" s="29">
        <v>42486</v>
      </c>
    </row>
    <row r="279" spans="3:4" ht="15" thickBot="1" x14ac:dyDescent="0.35">
      <c r="C279" s="43"/>
      <c r="D279" s="43"/>
    </row>
    <row r="280" spans="3:4" ht="15" thickBot="1" x14ac:dyDescent="0.35">
      <c r="C280" s="104" t="s">
        <v>155</v>
      </c>
      <c r="D280" s="64">
        <f>SUM(D267:D278)</f>
        <v>402803</v>
      </c>
    </row>
    <row r="282" spans="3:4" ht="14.4" x14ac:dyDescent="0.3">
      <c r="C282" s="28">
        <f>DATE(2015,1,1)</f>
        <v>42005</v>
      </c>
      <c r="D282" s="29">
        <v>32012</v>
      </c>
    </row>
    <row r="283" spans="3:4" ht="14.4" x14ac:dyDescent="0.3">
      <c r="C283" s="28">
        <f>DATE(2015,2,1)</f>
        <v>42036</v>
      </c>
      <c r="D283" s="29">
        <v>18272</v>
      </c>
    </row>
    <row r="284" spans="3:4" ht="14.4" x14ac:dyDescent="0.3">
      <c r="C284" s="28">
        <f>DATE(2015,3,1)</f>
        <v>42064</v>
      </c>
      <c r="D284" s="29">
        <v>37565</v>
      </c>
    </row>
    <row r="285" spans="3:4" ht="14.4" x14ac:dyDescent="0.3">
      <c r="C285" s="28">
        <f>DATE(2015,4,1)</f>
        <v>42095</v>
      </c>
      <c r="D285" s="29">
        <v>13909</v>
      </c>
    </row>
    <row r="286" spans="3:4" ht="14.4" x14ac:dyDescent="0.3">
      <c r="C286" s="28">
        <f>DATE(2015,5,1)</f>
        <v>42125</v>
      </c>
      <c r="D286" s="29">
        <v>48249</v>
      </c>
    </row>
    <row r="287" spans="3:4" ht="14.4" x14ac:dyDescent="0.3">
      <c r="C287" s="28">
        <f>DATE(2015,6,1)</f>
        <v>42156</v>
      </c>
      <c r="D287" s="29">
        <v>21382</v>
      </c>
    </row>
    <row r="288" spans="3:4" ht="14.4" x14ac:dyDescent="0.3">
      <c r="C288" s="28">
        <f>DATE(2015,7,1)</f>
        <v>42186</v>
      </c>
      <c r="D288" s="29">
        <v>28275</v>
      </c>
    </row>
    <row r="289" spans="3:4" ht="14.4" x14ac:dyDescent="0.3">
      <c r="C289" s="28">
        <f>DATE(2015,8,1)</f>
        <v>42217</v>
      </c>
      <c r="D289" s="29">
        <v>24128</v>
      </c>
    </row>
    <row r="290" spans="3:4" ht="14.4" x14ac:dyDescent="0.3">
      <c r="C290" s="28">
        <f>DATE(2015,9,1)</f>
        <v>42248</v>
      </c>
      <c r="D290" s="29">
        <v>24219</v>
      </c>
    </row>
    <row r="291" spans="3:4" ht="14.4" x14ac:dyDescent="0.3">
      <c r="C291" s="28">
        <f>DATE(2015,10,1)</f>
        <v>42278</v>
      </c>
      <c r="D291" s="29">
        <v>26965</v>
      </c>
    </row>
    <row r="292" spans="3:4" ht="14.4" x14ac:dyDescent="0.3">
      <c r="C292" s="28">
        <f>DATE(2015,11,1)</f>
        <v>42309</v>
      </c>
      <c r="D292" s="29">
        <v>53451</v>
      </c>
    </row>
    <row r="293" spans="3:4" ht="14.4" x14ac:dyDescent="0.3">
      <c r="C293" s="28">
        <f>DATE(2015,12,1)</f>
        <v>42339</v>
      </c>
      <c r="D293" s="29">
        <v>45241</v>
      </c>
    </row>
    <row r="294" spans="3:4" ht="15" thickBot="1" x14ac:dyDescent="0.35">
      <c r="C294" s="43"/>
      <c r="D294" s="43"/>
    </row>
    <row r="295" spans="3:4" ht="15" thickBot="1" x14ac:dyDescent="0.35">
      <c r="C295" s="104" t="s">
        <v>155</v>
      </c>
      <c r="D295" s="64">
        <f>SUM(D282:D293)</f>
        <v>373668</v>
      </c>
    </row>
    <row r="297" spans="3:4" ht="14.4" x14ac:dyDescent="0.3">
      <c r="C297" s="28">
        <v>42370</v>
      </c>
      <c r="D297" s="29">
        <v>44634</v>
      </c>
    </row>
    <row r="298" spans="3:4" ht="14.4" x14ac:dyDescent="0.3">
      <c r="C298" s="28">
        <v>42401</v>
      </c>
      <c r="D298" s="29">
        <v>25591</v>
      </c>
    </row>
    <row r="299" spans="3:4" ht="14.4" x14ac:dyDescent="0.3">
      <c r="C299" s="28">
        <v>42430</v>
      </c>
      <c r="D299" s="29">
        <v>54396</v>
      </c>
    </row>
    <row r="300" spans="3:4" ht="14.4" x14ac:dyDescent="0.3">
      <c r="C300" s="28">
        <v>42461</v>
      </c>
      <c r="D300" s="29">
        <v>23832</v>
      </c>
    </row>
    <row r="301" spans="3:4" ht="14.4" x14ac:dyDescent="0.3">
      <c r="C301" s="28">
        <v>42491</v>
      </c>
      <c r="D301" s="29">
        <v>24078</v>
      </c>
    </row>
    <row r="302" spans="3:4" ht="14.4" x14ac:dyDescent="0.3">
      <c r="C302" s="28">
        <v>42522</v>
      </c>
      <c r="D302" s="29">
        <v>33224</v>
      </c>
    </row>
    <row r="303" spans="3:4" ht="14.4" x14ac:dyDescent="0.3">
      <c r="C303" s="28">
        <v>42552</v>
      </c>
      <c r="D303" s="29">
        <v>32282</v>
      </c>
    </row>
    <row r="304" spans="3:4" ht="14.4" x14ac:dyDescent="0.3">
      <c r="C304" s="28">
        <v>42583</v>
      </c>
      <c r="D304" s="29">
        <v>27342</v>
      </c>
    </row>
    <row r="305" spans="3:4" ht="14.4" x14ac:dyDescent="0.3">
      <c r="C305" s="28">
        <v>42614</v>
      </c>
      <c r="D305" s="29">
        <v>26595</v>
      </c>
    </row>
    <row r="306" spans="3:4" ht="14.4" x14ac:dyDescent="0.3">
      <c r="C306" s="28">
        <v>42644</v>
      </c>
      <c r="D306" s="29">
        <v>28038</v>
      </c>
    </row>
    <row r="307" spans="3:4" ht="14.4" x14ac:dyDescent="0.3">
      <c r="C307" s="28">
        <v>42675</v>
      </c>
      <c r="D307" s="29">
        <v>38546</v>
      </c>
    </row>
    <row r="308" spans="3:4" ht="14.4" x14ac:dyDescent="0.3">
      <c r="C308" s="28">
        <v>42705</v>
      </c>
      <c r="D308" s="143">
        <v>33578</v>
      </c>
    </row>
    <row r="309" spans="3:4" ht="15" thickBot="1" x14ac:dyDescent="0.35">
      <c r="C309" s="43"/>
      <c r="D309" s="43"/>
    </row>
    <row r="310" spans="3:4" ht="15" thickBot="1" x14ac:dyDescent="0.35">
      <c r="C310" s="104" t="s">
        <v>155</v>
      </c>
      <c r="D310" s="64">
        <f>SUM(D297:D308)</f>
        <v>392136</v>
      </c>
    </row>
    <row r="312" spans="3:4" ht="14.4" x14ac:dyDescent="0.3">
      <c r="C312" s="28">
        <v>42736</v>
      </c>
      <c r="D312" s="29">
        <v>29712</v>
      </c>
    </row>
    <row r="313" spans="3:4" ht="14.4" x14ac:dyDescent="0.3">
      <c r="C313" s="28">
        <v>42767</v>
      </c>
      <c r="D313" s="29">
        <v>43559</v>
      </c>
    </row>
    <row r="314" spans="3:4" ht="14.4" x14ac:dyDescent="0.3">
      <c r="C314" s="28">
        <v>42795</v>
      </c>
      <c r="D314" s="29">
        <v>19174</v>
      </c>
    </row>
    <row r="315" spans="3:4" ht="14.4" x14ac:dyDescent="0.3">
      <c r="C315" s="28">
        <v>42826</v>
      </c>
      <c r="D315" s="29">
        <v>30676</v>
      </c>
    </row>
    <row r="316" spans="3:4" ht="14.4" x14ac:dyDescent="0.3">
      <c r="C316" s="28">
        <v>42856</v>
      </c>
      <c r="D316" s="29">
        <v>21268</v>
      </c>
    </row>
    <row r="317" spans="3:4" ht="14.4" x14ac:dyDescent="0.3">
      <c r="C317" s="28">
        <v>42887</v>
      </c>
      <c r="D317" s="29">
        <v>11184</v>
      </c>
    </row>
    <row r="318" spans="3:4" ht="14.4" x14ac:dyDescent="0.3">
      <c r="C318" s="28">
        <v>42917</v>
      </c>
      <c r="D318" s="29">
        <v>35617</v>
      </c>
    </row>
    <row r="319" spans="3:4" ht="14.4" x14ac:dyDescent="0.3">
      <c r="C319" s="28">
        <v>42948</v>
      </c>
      <c r="D319" s="29">
        <v>25505</v>
      </c>
    </row>
    <row r="320" spans="3:4" ht="14.4" x14ac:dyDescent="0.3">
      <c r="C320" s="28">
        <v>42979</v>
      </c>
      <c r="D320" s="29">
        <v>26848</v>
      </c>
    </row>
    <row r="321" spans="3:4" ht="14.4" x14ac:dyDescent="0.3">
      <c r="C321" s="28">
        <v>43009</v>
      </c>
      <c r="D321" s="29">
        <v>26163</v>
      </c>
    </row>
    <row r="322" spans="3:4" ht="14.4" x14ac:dyDescent="0.3">
      <c r="C322" s="28">
        <v>43040</v>
      </c>
      <c r="D322" s="29">
        <v>38880</v>
      </c>
    </row>
    <row r="323" spans="3:4" ht="14.4" x14ac:dyDescent="0.3">
      <c r="C323" s="28">
        <v>43070</v>
      </c>
      <c r="D323" s="29">
        <v>21943</v>
      </c>
    </row>
    <row r="324" spans="3:4" ht="15" thickBot="1" x14ac:dyDescent="0.35">
      <c r="C324" s="43"/>
      <c r="D324" s="43"/>
    </row>
    <row r="325" spans="3:4" ht="15" thickBot="1" x14ac:dyDescent="0.35">
      <c r="C325" s="104" t="s">
        <v>155</v>
      </c>
      <c r="D325" s="64">
        <f>SUM(D312:D323)</f>
        <v>330529</v>
      </c>
    </row>
    <row r="327" spans="3:4" ht="14.4" x14ac:dyDescent="0.3">
      <c r="C327" s="28">
        <v>43101</v>
      </c>
      <c r="D327" s="29">
        <v>29172</v>
      </c>
    </row>
    <row r="328" spans="3:4" ht="14.4" x14ac:dyDescent="0.3">
      <c r="C328" s="28">
        <v>43132</v>
      </c>
      <c r="D328" s="29">
        <v>36283</v>
      </c>
    </row>
    <row r="329" spans="3:4" ht="14.4" x14ac:dyDescent="0.3">
      <c r="C329" s="28">
        <v>43160</v>
      </c>
      <c r="D329" s="29">
        <v>28892</v>
      </c>
    </row>
    <row r="330" spans="3:4" ht="14.4" x14ac:dyDescent="0.3">
      <c r="C330" s="28">
        <v>43191</v>
      </c>
      <c r="D330" s="29">
        <v>15552</v>
      </c>
    </row>
    <row r="331" spans="3:4" ht="14.4" x14ac:dyDescent="0.3">
      <c r="C331" s="28">
        <v>43221</v>
      </c>
      <c r="D331" s="29">
        <v>34216</v>
      </c>
    </row>
    <row r="332" spans="3:4" ht="14.4" x14ac:dyDescent="0.3">
      <c r="C332" s="28">
        <v>43252</v>
      </c>
      <c r="D332" s="29">
        <v>20663</v>
      </c>
    </row>
    <row r="333" spans="3:4" ht="14.4" x14ac:dyDescent="0.3">
      <c r="C333" s="28">
        <v>43282</v>
      </c>
      <c r="D333" s="29">
        <v>12877</v>
      </c>
    </row>
    <row r="334" spans="3:4" ht="14.4" x14ac:dyDescent="0.3">
      <c r="C334" s="28">
        <v>43313</v>
      </c>
      <c r="D334" s="29">
        <v>28379</v>
      </c>
    </row>
    <row r="335" spans="3:4" ht="14.4" x14ac:dyDescent="0.3">
      <c r="C335" s="28">
        <v>43344</v>
      </c>
      <c r="D335" s="29">
        <v>27503</v>
      </c>
    </row>
    <row r="336" spans="3:4" ht="14.4" x14ac:dyDescent="0.3">
      <c r="C336" s="28">
        <v>43374</v>
      </c>
      <c r="D336" s="29">
        <v>30553</v>
      </c>
    </row>
    <row r="337" spans="3:4" ht="14.4" x14ac:dyDescent="0.3">
      <c r="C337" s="28">
        <v>43405</v>
      </c>
      <c r="D337" s="29">
        <v>39856</v>
      </c>
    </row>
    <row r="338" spans="3:4" ht="14.4" x14ac:dyDescent="0.3">
      <c r="C338" s="28">
        <v>43435</v>
      </c>
      <c r="D338" s="29">
        <v>27412</v>
      </c>
    </row>
    <row r="339" spans="3:4" ht="15" thickBot="1" x14ac:dyDescent="0.35">
      <c r="C339" s="43"/>
      <c r="D339" s="43"/>
    </row>
    <row r="340" spans="3:4" ht="15" thickBot="1" x14ac:dyDescent="0.35">
      <c r="C340" s="104" t="s">
        <v>155</v>
      </c>
      <c r="D340" s="64">
        <f>SUM(D327:D338)</f>
        <v>331358</v>
      </c>
    </row>
    <row r="342" spans="3:4" ht="14.4" x14ac:dyDescent="0.3">
      <c r="C342" s="56">
        <v>43466</v>
      </c>
      <c r="D342" s="158">
        <v>54921</v>
      </c>
    </row>
    <row r="343" spans="3:4" ht="14.4" x14ac:dyDescent="0.3">
      <c r="C343" s="56">
        <f>DATE(2019,2,1)</f>
        <v>43497</v>
      </c>
      <c r="D343" s="29">
        <v>23308</v>
      </c>
    </row>
    <row r="344" spans="3:4" ht="14.4" x14ac:dyDescent="0.3">
      <c r="C344" s="56">
        <f>DATE(2019,3,1)</f>
        <v>43525</v>
      </c>
      <c r="D344" s="29">
        <v>27996</v>
      </c>
    </row>
    <row r="345" spans="3:4" ht="14.4" x14ac:dyDescent="0.3">
      <c r="C345" s="56">
        <f>DATE(2019,4,1)</f>
        <v>43556</v>
      </c>
      <c r="D345" s="29">
        <v>41093</v>
      </c>
    </row>
    <row r="346" spans="3:4" ht="14.4" x14ac:dyDescent="0.3">
      <c r="C346" s="56">
        <f>DATE(2019,5,1)</f>
        <v>43586</v>
      </c>
      <c r="D346" s="29">
        <v>36599</v>
      </c>
    </row>
    <row r="347" spans="3:4" ht="14.4" x14ac:dyDescent="0.3">
      <c r="C347" s="56">
        <f>DATE(2019,6,1)</f>
        <v>43617</v>
      </c>
      <c r="D347" s="29">
        <v>23308</v>
      </c>
    </row>
    <row r="348" spans="3:4" ht="14.4" x14ac:dyDescent="0.3">
      <c r="C348" s="56">
        <f>DATE(2019,7,1)</f>
        <v>43647</v>
      </c>
      <c r="D348" s="29">
        <v>25522</v>
      </c>
    </row>
    <row r="349" spans="3:4" ht="14.4" x14ac:dyDescent="0.3">
      <c r="C349" s="56">
        <f>DATE(2019,8,1)</f>
        <v>43678</v>
      </c>
      <c r="D349" s="29">
        <v>32726</v>
      </c>
    </row>
    <row r="350" spans="3:4" ht="14.4" x14ac:dyDescent="0.3">
      <c r="C350" s="56">
        <f>DATE(2019,9,1)</f>
        <v>43709</v>
      </c>
      <c r="D350" s="29">
        <v>43677</v>
      </c>
    </row>
    <row r="351" spans="3:4" ht="14.4" x14ac:dyDescent="0.3">
      <c r="C351" s="56">
        <f>DATE(2019,10,1)</f>
        <v>43739</v>
      </c>
      <c r="D351" s="29">
        <v>34520</v>
      </c>
    </row>
    <row r="352" spans="3:4" ht="14.4" x14ac:dyDescent="0.3">
      <c r="C352" s="56">
        <f>DATE(2019,11,1)</f>
        <v>43770</v>
      </c>
      <c r="D352" s="29">
        <v>29235</v>
      </c>
    </row>
    <row r="353" spans="3:4" ht="14.4" x14ac:dyDescent="0.3">
      <c r="C353" s="56">
        <f>DATE(2019,12,1)</f>
        <v>43800</v>
      </c>
      <c r="D353" s="29">
        <v>37274</v>
      </c>
    </row>
    <row r="354" spans="3:4" ht="15" thickBot="1" x14ac:dyDescent="0.35">
      <c r="C354" s="43"/>
      <c r="D354" s="43"/>
    </row>
    <row r="355" spans="3:4" ht="15" thickBot="1" x14ac:dyDescent="0.35">
      <c r="C355" s="104" t="s">
        <v>155</v>
      </c>
      <c r="D355" s="64">
        <f>SUM(D342:D353)</f>
        <v>410179</v>
      </c>
    </row>
    <row r="357" spans="3:4" ht="14.4" x14ac:dyDescent="0.3">
      <c r="C357" s="56">
        <v>43831</v>
      </c>
      <c r="D357" s="158">
        <v>39384</v>
      </c>
    </row>
    <row r="358" spans="3:4" ht="14.4" x14ac:dyDescent="0.3">
      <c r="C358" s="56">
        <f>DATE(2020,2,1)</f>
        <v>43862</v>
      </c>
      <c r="D358" s="29">
        <v>45246</v>
      </c>
    </row>
    <row r="359" spans="3:4" ht="14.4" x14ac:dyDescent="0.3">
      <c r="C359" s="56">
        <f>DATE(2020,3,1)</f>
        <v>43891</v>
      </c>
      <c r="D359" s="29">
        <v>42095</v>
      </c>
    </row>
    <row r="360" spans="3:4" ht="14.4" x14ac:dyDescent="0.3">
      <c r="C360" s="56">
        <f>DATE(2020,4,1)</f>
        <v>43922</v>
      </c>
      <c r="D360" s="29">
        <v>15588</v>
      </c>
    </row>
    <row r="361" spans="3:4" ht="14.4" x14ac:dyDescent="0.3">
      <c r="C361" s="56">
        <f>DATE(2020,5,1)</f>
        <v>43952</v>
      </c>
      <c r="D361" s="29">
        <v>31851</v>
      </c>
    </row>
    <row r="362" spans="3:4" ht="14.4" x14ac:dyDescent="0.3">
      <c r="C362" s="56">
        <f>DATE(2020,6,1)</f>
        <v>43983</v>
      </c>
      <c r="D362" s="29">
        <v>26320</v>
      </c>
    </row>
    <row r="363" spans="3:4" ht="14.4" x14ac:dyDescent="0.3">
      <c r="C363" s="56">
        <f>DATE(2020,7,1)</f>
        <v>44013</v>
      </c>
      <c r="D363" s="29">
        <v>34059</v>
      </c>
    </row>
    <row r="364" spans="3:4" ht="14.4" x14ac:dyDescent="0.3">
      <c r="C364" s="56">
        <f>DATE(2020,8,1)</f>
        <v>44044</v>
      </c>
      <c r="D364" s="29">
        <v>17779</v>
      </c>
    </row>
    <row r="365" spans="3:4" ht="14.4" x14ac:dyDescent="0.3">
      <c r="C365" s="56">
        <f>DATE(2020,9,1)</f>
        <v>44075</v>
      </c>
      <c r="D365" s="29">
        <v>22600</v>
      </c>
    </row>
    <row r="366" spans="3:4" ht="14.4" x14ac:dyDescent="0.3">
      <c r="C366" s="56">
        <f>DATE(2020,10,1)</f>
        <v>44105</v>
      </c>
      <c r="D366" s="29">
        <v>31617</v>
      </c>
    </row>
    <row r="367" spans="3:4" ht="14.4" x14ac:dyDescent="0.3">
      <c r="C367" s="56">
        <f>DATE(2020,11,1)</f>
        <v>44136</v>
      </c>
      <c r="D367" s="29">
        <v>25975</v>
      </c>
    </row>
    <row r="368" spans="3:4" ht="14.4" x14ac:dyDescent="0.3">
      <c r="C368" s="56">
        <f>DATE(2020,12,1)</f>
        <v>44166</v>
      </c>
      <c r="D368" s="29">
        <v>28483</v>
      </c>
    </row>
    <row r="369" spans="3:4" ht="15" thickBot="1" x14ac:dyDescent="0.35">
      <c r="C369" s="43"/>
      <c r="D369" s="43"/>
    </row>
    <row r="370" spans="3:4" ht="15" thickBot="1" x14ac:dyDescent="0.35">
      <c r="C370" s="104" t="s">
        <v>155</v>
      </c>
      <c r="D370" s="64">
        <f>SUM(D357:D368)</f>
        <v>360997</v>
      </c>
    </row>
    <row r="372" spans="3:4" ht="14.4" x14ac:dyDescent="0.3">
      <c r="C372" s="56">
        <v>44197</v>
      </c>
      <c r="D372" s="158">
        <v>42124</v>
      </c>
    </row>
    <row r="373" spans="3:4" ht="14.4" x14ac:dyDescent="0.3">
      <c r="C373" s="56">
        <f>DATE(2021,2,1)</f>
        <v>44228</v>
      </c>
      <c r="D373" s="29">
        <v>28691</v>
      </c>
    </row>
    <row r="374" spans="3:4" ht="14.4" x14ac:dyDescent="0.3">
      <c r="C374" s="56">
        <f>DATE(2021,3,1)</f>
        <v>44256</v>
      </c>
      <c r="D374" s="29">
        <v>36231</v>
      </c>
    </row>
    <row r="375" spans="3:4" ht="14.4" x14ac:dyDescent="0.3">
      <c r="C375" s="56">
        <f>DATE(2021,4,1)</f>
        <v>44287</v>
      </c>
      <c r="D375" s="29">
        <v>32093</v>
      </c>
    </row>
    <row r="376" spans="3:4" ht="14.4" x14ac:dyDescent="0.3">
      <c r="C376" s="56">
        <f>DATE(2021,5,1)</f>
        <v>44317</v>
      </c>
      <c r="D376" s="29">
        <v>39658</v>
      </c>
    </row>
    <row r="377" spans="3:4" ht="14.4" x14ac:dyDescent="0.3">
      <c r="C377" s="56">
        <f>DATE(2021,6,1)</f>
        <v>44348</v>
      </c>
      <c r="D377" s="29">
        <v>15719</v>
      </c>
    </row>
    <row r="378" spans="3:4" ht="14.4" x14ac:dyDescent="0.3">
      <c r="C378" s="56">
        <f>DATE(2021,7,1)</f>
        <v>44378</v>
      </c>
      <c r="D378" s="29">
        <v>22662</v>
      </c>
    </row>
    <row r="379" spans="3:4" ht="14.4" x14ac:dyDescent="0.3">
      <c r="C379" s="56">
        <f>DATE(2021,8,1)</f>
        <v>44409</v>
      </c>
      <c r="D379" s="29">
        <v>43170</v>
      </c>
    </row>
    <row r="380" spans="3:4" ht="14.4" x14ac:dyDescent="0.3">
      <c r="C380" s="56">
        <f>DATE(2021,9,1)</f>
        <v>44440</v>
      </c>
      <c r="D380" s="29">
        <v>47946</v>
      </c>
    </row>
    <row r="381" spans="3:4" ht="14.4" x14ac:dyDescent="0.3">
      <c r="C381" s="56">
        <f>DATE(2021,10,1)</f>
        <v>44470</v>
      </c>
      <c r="D381" s="29">
        <v>34459</v>
      </c>
    </row>
    <row r="382" spans="3:4" ht="14.4" x14ac:dyDescent="0.3">
      <c r="C382" s="56">
        <f>DATE(2021,11,1)</f>
        <v>44501</v>
      </c>
      <c r="D382" s="29">
        <v>29373</v>
      </c>
    </row>
    <row r="383" spans="3:4" ht="14.4" x14ac:dyDescent="0.3">
      <c r="C383" s="56">
        <f>DATE(2021,12,1)</f>
        <v>44531</v>
      </c>
      <c r="D383" s="29">
        <v>23504</v>
      </c>
    </row>
    <row r="384" spans="3:4" ht="15" thickBot="1" x14ac:dyDescent="0.35">
      <c r="C384" s="43"/>
      <c r="D384" s="43"/>
    </row>
    <row r="385" spans="3:4" ht="15" thickBot="1" x14ac:dyDescent="0.35">
      <c r="C385" s="104" t="s">
        <v>155</v>
      </c>
      <c r="D385" s="64">
        <f>SUM(D372:D383)</f>
        <v>395630</v>
      </c>
    </row>
    <row r="387" spans="3:4" ht="14.4" x14ac:dyDescent="0.3">
      <c r="C387" s="56">
        <v>44562</v>
      </c>
      <c r="D387" s="158">
        <v>39190</v>
      </c>
    </row>
    <row r="388" spans="3:4" ht="14.4" x14ac:dyDescent="0.3">
      <c r="C388" s="56">
        <f>DATE(2022,2,1)</f>
        <v>44593</v>
      </c>
      <c r="D388" s="29">
        <v>33678</v>
      </c>
    </row>
    <row r="389" spans="3:4" ht="14.4" x14ac:dyDescent="0.3">
      <c r="C389" s="56">
        <f>DATE(2022,3,1)</f>
        <v>44621</v>
      </c>
      <c r="D389" s="29">
        <v>26593</v>
      </c>
    </row>
    <row r="390" spans="3:4" ht="14.4" x14ac:dyDescent="0.3">
      <c r="C390" s="56">
        <f>DATE(2022,4,1)</f>
        <v>44652</v>
      </c>
      <c r="D390" s="29">
        <v>38981</v>
      </c>
    </row>
    <row r="391" spans="3:4" ht="14.4" x14ac:dyDescent="0.3">
      <c r="C391" s="56">
        <f>DATE(2022,5,1)</f>
        <v>44682</v>
      </c>
      <c r="D391" s="29">
        <v>19600</v>
      </c>
    </row>
    <row r="392" spans="3:4" ht="14.4" x14ac:dyDescent="0.3">
      <c r="C392" s="56">
        <f>DATE(2022,6,1)</f>
        <v>44713</v>
      </c>
      <c r="D392" s="29">
        <v>20867</v>
      </c>
    </row>
    <row r="393" spans="3:4" ht="14.4" x14ac:dyDescent="0.3">
      <c r="C393" s="56">
        <f>DATE(2022,7,1)</f>
        <v>44743</v>
      </c>
      <c r="D393" s="29">
        <v>29423</v>
      </c>
    </row>
    <row r="394" spans="3:4" ht="14.4" x14ac:dyDescent="0.3">
      <c r="C394" s="56">
        <f>DATE(2022,8,1)</f>
        <v>44774</v>
      </c>
      <c r="D394" s="29">
        <v>28143</v>
      </c>
    </row>
    <row r="395" spans="3:4" ht="14.4" x14ac:dyDescent="0.3">
      <c r="C395" s="56">
        <f>DATE(2022,9,1)</f>
        <v>44805</v>
      </c>
      <c r="D395" s="29">
        <v>30622</v>
      </c>
    </row>
    <row r="396" spans="3:4" ht="14.4" x14ac:dyDescent="0.3">
      <c r="C396" s="56">
        <f>DATE(2022,10,1)</f>
        <v>44835</v>
      </c>
      <c r="D396" s="29">
        <v>40966</v>
      </c>
    </row>
    <row r="397" spans="3:4" ht="14.4" x14ac:dyDescent="0.3">
      <c r="C397" s="56">
        <f>DATE(2022,11,1)</f>
        <v>44866</v>
      </c>
      <c r="D397" s="29">
        <v>24375</v>
      </c>
    </row>
    <row r="398" spans="3:4" ht="14.4" x14ac:dyDescent="0.3">
      <c r="C398" s="56">
        <f>DATE(2022,12,1)</f>
        <v>44896</v>
      </c>
      <c r="D398" s="29">
        <v>34709</v>
      </c>
    </row>
    <row r="399" spans="3:4" ht="15" thickBot="1" x14ac:dyDescent="0.35">
      <c r="C399" s="43"/>
      <c r="D399" s="43"/>
    </row>
    <row r="400" spans="3:4" ht="15" thickBot="1" x14ac:dyDescent="0.35">
      <c r="C400" s="104" t="s">
        <v>155</v>
      </c>
      <c r="D400" s="64">
        <f>SUM(D387:D398)</f>
        <v>367147</v>
      </c>
    </row>
    <row r="402" spans="3:4" ht="14.4" x14ac:dyDescent="0.3">
      <c r="C402" s="56">
        <v>44927</v>
      </c>
      <c r="D402" s="158">
        <v>24665</v>
      </c>
    </row>
    <row r="403" spans="3:4" ht="14.4" x14ac:dyDescent="0.3">
      <c r="C403" s="56">
        <f>DATE(2023,2,1)</f>
        <v>44958</v>
      </c>
      <c r="D403" s="29">
        <v>31987</v>
      </c>
    </row>
    <row r="404" spans="3:4" ht="14.4" x14ac:dyDescent="0.3">
      <c r="C404" s="56">
        <f>DATE(2023,3,1)</f>
        <v>44986</v>
      </c>
      <c r="D404" s="29">
        <v>26176</v>
      </c>
    </row>
    <row r="405" spans="3:4" ht="14.4" x14ac:dyDescent="0.3">
      <c r="C405" s="56">
        <f>DATE(2023,4,1)</f>
        <v>45017</v>
      </c>
      <c r="D405" s="29">
        <v>20293</v>
      </c>
    </row>
    <row r="406" spans="3:4" ht="14.4" x14ac:dyDescent="0.3">
      <c r="C406" s="56">
        <f>DATE(2023,5,1)</f>
        <v>45047</v>
      </c>
      <c r="D406" s="29">
        <v>35894</v>
      </c>
    </row>
    <row r="407" spans="3:4" ht="14.4" x14ac:dyDescent="0.3">
      <c r="C407" s="56">
        <f>DATE(2023,6,1)</f>
        <v>45078</v>
      </c>
      <c r="D407" s="29">
        <v>12708</v>
      </c>
    </row>
    <row r="408" spans="3:4" ht="14.4" x14ac:dyDescent="0.3">
      <c r="C408" s="56">
        <f>DATE(2023,7,1)</f>
        <v>45108</v>
      </c>
      <c r="D408" s="29">
        <v>19875</v>
      </c>
    </row>
    <row r="409" spans="3:4" ht="14.4" x14ac:dyDescent="0.3">
      <c r="C409" s="56">
        <f>DATE(2023,8,1)</f>
        <v>45139</v>
      </c>
      <c r="D409" s="29">
        <v>21367</v>
      </c>
    </row>
    <row r="410" spans="3:4" ht="14.4" x14ac:dyDescent="0.3">
      <c r="C410" s="56">
        <f>DATE(2023,9,1)</f>
        <v>45170</v>
      </c>
      <c r="D410" s="29">
        <v>38060</v>
      </c>
    </row>
    <row r="411" spans="3:4" ht="14.4" x14ac:dyDescent="0.3">
      <c r="C411" s="56">
        <f>DATE(2023,10,1)</f>
        <v>45200</v>
      </c>
      <c r="D411" s="29">
        <v>22754</v>
      </c>
    </row>
    <row r="412" spans="3:4" ht="14.4" x14ac:dyDescent="0.3">
      <c r="C412" s="56">
        <f>DATE(2023,11,1)</f>
        <v>45231</v>
      </c>
      <c r="D412" s="29">
        <v>24608</v>
      </c>
    </row>
    <row r="413" spans="3:4" ht="14.4" x14ac:dyDescent="0.3">
      <c r="C413" s="56">
        <f>DATE(2023,12,1)</f>
        <v>45261</v>
      </c>
      <c r="D413" s="29">
        <v>22124</v>
      </c>
    </row>
    <row r="414" spans="3:4" ht="15" thickBot="1" x14ac:dyDescent="0.35">
      <c r="C414" s="43"/>
      <c r="D414" s="43"/>
    </row>
    <row r="415" spans="3:4" ht="15" thickBot="1" x14ac:dyDescent="0.35">
      <c r="C415" s="104" t="s">
        <v>155</v>
      </c>
      <c r="D415" s="64">
        <f>SUM(D402:D413)</f>
        <v>300511</v>
      </c>
    </row>
    <row r="417" spans="3:4" ht="14.4" x14ac:dyDescent="0.3">
      <c r="C417" s="56">
        <v>45292</v>
      </c>
      <c r="D417" s="158">
        <v>42284</v>
      </c>
    </row>
    <row r="418" spans="3:4" ht="14.4" x14ac:dyDescent="0.3">
      <c r="C418" s="56">
        <f>DATE(2024,2,1)</f>
        <v>45323</v>
      </c>
      <c r="D418" s="29">
        <v>26360</v>
      </c>
    </row>
    <row r="419" spans="3:4" ht="14.4" x14ac:dyDescent="0.3">
      <c r="C419" s="56">
        <f>DATE(2024,3,1)</f>
        <v>45352</v>
      </c>
      <c r="D419" s="29">
        <v>26084</v>
      </c>
    </row>
    <row r="420" spans="3:4" ht="14.4" x14ac:dyDescent="0.3">
      <c r="C420" s="56">
        <f>DATE(2024,4,1)</f>
        <v>45383</v>
      </c>
      <c r="D420" s="29">
        <v>28227</v>
      </c>
    </row>
    <row r="421" spans="3:4" ht="14.4" x14ac:dyDescent="0.3">
      <c r="C421" s="56">
        <f>DATE(2024,5,1)</f>
        <v>45413</v>
      </c>
      <c r="D421" s="29">
        <v>28980</v>
      </c>
    </row>
    <row r="422" spans="3:4" ht="14.4" x14ac:dyDescent="0.3">
      <c r="C422" s="56">
        <f>DATE(2024,6,1)</f>
        <v>45444</v>
      </c>
      <c r="D422" s="29">
        <v>12978</v>
      </c>
    </row>
    <row r="423" spans="3:4" ht="14.4" x14ac:dyDescent="0.3">
      <c r="C423" s="56">
        <f>DATE(2024,7,1)</f>
        <v>45474</v>
      </c>
      <c r="D423" s="29">
        <v>18990</v>
      </c>
    </row>
    <row r="424" spans="3:4" ht="14.4" x14ac:dyDescent="0.3">
      <c r="C424" s="56">
        <f>DATE(2024,8,1)</f>
        <v>45505</v>
      </c>
      <c r="D424" s="29">
        <v>13651</v>
      </c>
    </row>
    <row r="425" spans="3:4" ht="14.4" x14ac:dyDescent="0.3">
      <c r="C425" s="56">
        <f>DATE(2024,9,1)</f>
        <v>45536</v>
      </c>
      <c r="D425" s="29">
        <v>28108</v>
      </c>
    </row>
    <row r="426" spans="3:4" ht="14.4" x14ac:dyDescent="0.3">
      <c r="C426" s="56">
        <f>DATE(2024,10,1)</f>
        <v>45566</v>
      </c>
      <c r="D426" s="29">
        <v>11304</v>
      </c>
    </row>
    <row r="427" spans="3:4" ht="14.4" x14ac:dyDescent="0.3">
      <c r="C427" s="56">
        <f>DATE(2024,11,1)</f>
        <v>45597</v>
      </c>
      <c r="D427" s="29">
        <v>18982</v>
      </c>
    </row>
    <row r="428" spans="3:4" ht="14.4" x14ac:dyDescent="0.3">
      <c r="C428" s="56">
        <f>DATE(2024,12,1)</f>
        <v>45627</v>
      </c>
      <c r="D428" s="29">
        <v>20253</v>
      </c>
    </row>
    <row r="429" spans="3:4" ht="15" thickBot="1" x14ac:dyDescent="0.35">
      <c r="C429" s="43"/>
      <c r="D429" s="43"/>
    </row>
    <row r="430" spans="3:4" ht="15" thickBot="1" x14ac:dyDescent="0.35">
      <c r="C430" s="104" t="s">
        <v>155</v>
      </c>
      <c r="D430" s="64">
        <f>SUM(D417:D428)</f>
        <v>276201</v>
      </c>
    </row>
    <row r="432" spans="3:4" ht="14.4" x14ac:dyDescent="0.3">
      <c r="C432" s="56">
        <v>45658</v>
      </c>
      <c r="D432" s="158">
        <v>19687</v>
      </c>
    </row>
    <row r="433" spans="3:4" ht="14.4" x14ac:dyDescent="0.3">
      <c r="C433" s="56">
        <f>DATE(2025,2,1)</f>
        <v>45689</v>
      </c>
      <c r="D433" s="29">
        <v>18494</v>
      </c>
    </row>
    <row r="434" spans="3:4" ht="14.4" x14ac:dyDescent="0.3">
      <c r="C434" s="56">
        <f>DATE(2025,3,1)</f>
        <v>45717</v>
      </c>
      <c r="D434" s="29">
        <v>19134</v>
      </c>
    </row>
    <row r="435" spans="3:4" ht="14.4" x14ac:dyDescent="0.3">
      <c r="C435" s="56">
        <f>DATE(2025,4,1)</f>
        <v>45748</v>
      </c>
      <c r="D435" s="29">
        <v>16533</v>
      </c>
    </row>
    <row r="436" spans="3:4" ht="14.4" x14ac:dyDescent="0.3">
      <c r="C436" s="56">
        <f>DATE(2025,5,1)</f>
        <v>45778</v>
      </c>
      <c r="D436" s="29">
        <v>15602</v>
      </c>
    </row>
    <row r="437" spans="3:4" ht="14.4" x14ac:dyDescent="0.3">
      <c r="C437" s="56">
        <f>DATE(2025,6,1)</f>
        <v>45809</v>
      </c>
      <c r="D437" s="29">
        <v>7525</v>
      </c>
    </row>
    <row r="438" spans="3:4" ht="14.4" x14ac:dyDescent="0.3">
      <c r="C438" s="56">
        <f>DATE(2025,7,1)</f>
        <v>45839</v>
      </c>
      <c r="D438" s="29">
        <v>8274</v>
      </c>
    </row>
    <row r="439" spans="3:4" ht="14.4" x14ac:dyDescent="0.3">
      <c r="C439" s="56">
        <f>DATE(2025,8,1)</f>
        <v>45870</v>
      </c>
      <c r="D439" s="29">
        <v>12753</v>
      </c>
    </row>
    <row r="440" spans="3:4" ht="14.4" x14ac:dyDescent="0.3">
      <c r="C440" s="56">
        <f>DATE(2025,9,1)</f>
        <v>45901</v>
      </c>
      <c r="D440" s="29"/>
    </row>
    <row r="441" spans="3:4" ht="14.4" x14ac:dyDescent="0.3">
      <c r="C441" s="56">
        <f>DATE(2025,10,1)</f>
        <v>45931</v>
      </c>
      <c r="D441" s="29"/>
    </row>
    <row r="442" spans="3:4" ht="14.4" x14ac:dyDescent="0.3">
      <c r="C442" s="56">
        <f>DATE(2025,11,1)</f>
        <v>45962</v>
      </c>
      <c r="D442" s="29"/>
    </row>
    <row r="443" spans="3:4" ht="14.4" x14ac:dyDescent="0.3">
      <c r="C443" s="56">
        <f>DATE(2025,12,1)</f>
        <v>45992</v>
      </c>
      <c r="D443" s="29"/>
    </row>
    <row r="444" spans="3:4" ht="15" thickBot="1" x14ac:dyDescent="0.35">
      <c r="C444" s="43"/>
      <c r="D444" s="43"/>
    </row>
    <row r="445" spans="3:4" ht="15" thickBot="1" x14ac:dyDescent="0.35">
      <c r="C445" s="104" t="s">
        <v>155</v>
      </c>
      <c r="D445" s="64">
        <f>SUM(D432:D443)</f>
        <v>118002</v>
      </c>
    </row>
    <row r="447" spans="3:4" ht="14.4" x14ac:dyDescent="0.3">
      <c r="C447" s="56">
        <v>46023</v>
      </c>
      <c r="D447" s="158"/>
    </row>
    <row r="448" spans="3:4" ht="14.4" x14ac:dyDescent="0.3">
      <c r="C448" s="56">
        <f>DATE(2026,2,1)</f>
        <v>46054</v>
      </c>
      <c r="D448" s="29"/>
    </row>
    <row r="449" spans="3:4" ht="14.4" x14ac:dyDescent="0.3">
      <c r="C449" s="56">
        <f>DATE(2026,3,1)</f>
        <v>46082</v>
      </c>
      <c r="D449" s="29"/>
    </row>
    <row r="450" spans="3:4" ht="14.4" x14ac:dyDescent="0.3">
      <c r="C450" s="56">
        <f>DATE(2026,4,1)</f>
        <v>46113</v>
      </c>
      <c r="D450" s="29"/>
    </row>
    <row r="451" spans="3:4" ht="14.4" x14ac:dyDescent="0.3">
      <c r="C451" s="56">
        <f>DATE(2026,5,1)</f>
        <v>46143</v>
      </c>
      <c r="D451" s="29"/>
    </row>
    <row r="452" spans="3:4" ht="14.4" x14ac:dyDescent="0.3">
      <c r="C452" s="56">
        <f>DATE(2026,6,1)</f>
        <v>46174</v>
      </c>
      <c r="D452" s="29"/>
    </row>
    <row r="453" spans="3:4" ht="14.4" x14ac:dyDescent="0.3">
      <c r="C453" s="56">
        <f>DATE(2026,7,1)</f>
        <v>46204</v>
      </c>
      <c r="D453" s="29"/>
    </row>
    <row r="454" spans="3:4" ht="14.4" x14ac:dyDescent="0.3">
      <c r="C454" s="56">
        <f>DATE(2026,8,1)</f>
        <v>46235</v>
      </c>
      <c r="D454" s="29"/>
    </row>
    <row r="455" spans="3:4" ht="14.4" x14ac:dyDescent="0.3">
      <c r="C455" s="56">
        <f>DATE(2026,9,1)</f>
        <v>46266</v>
      </c>
      <c r="D455" s="29"/>
    </row>
    <row r="456" spans="3:4" ht="14.4" x14ac:dyDescent="0.3">
      <c r="C456" s="56">
        <f>DATE(2026,10,1)</f>
        <v>46296</v>
      </c>
      <c r="D456" s="29"/>
    </row>
    <row r="457" spans="3:4" ht="14.4" x14ac:dyDescent="0.3">
      <c r="C457" s="56">
        <f>DATE(2026,11,1)</f>
        <v>46327</v>
      </c>
      <c r="D457" s="29"/>
    </row>
    <row r="458" spans="3:4" ht="14.4" x14ac:dyDescent="0.3">
      <c r="C458" s="56">
        <f>DATE(2026,12,1)</f>
        <v>46357</v>
      </c>
      <c r="D458" s="29"/>
    </row>
    <row r="459" spans="3:4" ht="15" thickBot="1" x14ac:dyDescent="0.35">
      <c r="C459" s="43"/>
      <c r="D459" s="43"/>
    </row>
    <row r="460" spans="3:4" ht="15" thickBot="1" x14ac:dyDescent="0.35">
      <c r="C460" s="104" t="s">
        <v>155</v>
      </c>
      <c r="D460" s="64">
        <f>SUM(D447:D458)</f>
        <v>0</v>
      </c>
    </row>
    <row r="462" spans="3:4" ht="14.4" x14ac:dyDescent="0.3">
      <c r="C462" s="56">
        <v>46388</v>
      </c>
      <c r="D462" s="158"/>
    </row>
    <row r="463" spans="3:4" ht="14.4" x14ac:dyDescent="0.3">
      <c r="C463" s="56">
        <f>DATE(2027,2,1)</f>
        <v>46419</v>
      </c>
      <c r="D463" s="29"/>
    </row>
    <row r="464" spans="3:4" ht="14.4" x14ac:dyDescent="0.3">
      <c r="C464" s="56">
        <f>DATE(2027,3,1)</f>
        <v>46447</v>
      </c>
      <c r="D464" s="29"/>
    </row>
    <row r="465" spans="3:4" ht="14.4" x14ac:dyDescent="0.3">
      <c r="C465" s="56">
        <f>DATE(2027,4,1)</f>
        <v>46478</v>
      </c>
      <c r="D465" s="29"/>
    </row>
    <row r="466" spans="3:4" ht="14.4" x14ac:dyDescent="0.3">
      <c r="C466" s="56">
        <f>DATE(2027,5,1)</f>
        <v>46508</v>
      </c>
      <c r="D466" s="29"/>
    </row>
    <row r="467" spans="3:4" ht="14.4" x14ac:dyDescent="0.3">
      <c r="C467" s="56">
        <f>DATE(2027,6,1)</f>
        <v>46539</v>
      </c>
      <c r="D467" s="29"/>
    </row>
    <row r="468" spans="3:4" ht="14.4" x14ac:dyDescent="0.3">
      <c r="C468" s="56">
        <f>DATE(2027,7,1)</f>
        <v>46569</v>
      </c>
      <c r="D468" s="29"/>
    </row>
    <row r="469" spans="3:4" ht="14.4" x14ac:dyDescent="0.3">
      <c r="C469" s="56">
        <f>DATE(2027,8,1)</f>
        <v>46600</v>
      </c>
      <c r="D469" s="29"/>
    </row>
    <row r="470" spans="3:4" ht="14.4" x14ac:dyDescent="0.3">
      <c r="C470" s="56">
        <f>DATE(2027,9,1)</f>
        <v>46631</v>
      </c>
      <c r="D470" s="29"/>
    </row>
    <row r="471" spans="3:4" ht="14.4" x14ac:dyDescent="0.3">
      <c r="C471" s="56">
        <f>DATE(2027,10,1)</f>
        <v>46661</v>
      </c>
      <c r="D471" s="29"/>
    </row>
    <row r="472" spans="3:4" ht="14.4" x14ac:dyDescent="0.3">
      <c r="C472" s="56">
        <f>DATE(2027,11,1)</f>
        <v>46692</v>
      </c>
      <c r="D472" s="29"/>
    </row>
    <row r="473" spans="3:4" ht="14.4" x14ac:dyDescent="0.3">
      <c r="C473" s="56">
        <f>DATE(2027,12,1)</f>
        <v>46722</v>
      </c>
      <c r="D473" s="29"/>
    </row>
    <row r="474" spans="3:4" ht="15" thickBot="1" x14ac:dyDescent="0.35">
      <c r="C474" s="43"/>
      <c r="D474" s="43"/>
    </row>
    <row r="475" spans="3:4" ht="15" thickBot="1" x14ac:dyDescent="0.35">
      <c r="C475" s="104" t="s">
        <v>155</v>
      </c>
      <c r="D475" s="64">
        <f>SUM(D462:D473)</f>
        <v>0</v>
      </c>
    </row>
  </sheetData>
  <mergeCells count="2">
    <mergeCell ref="A2:F2"/>
    <mergeCell ref="A1:F1"/>
  </mergeCells>
  <phoneticPr fontId="0" type="noConversion"/>
  <printOptions horizontalCentered="1"/>
  <pageMargins left="0.75" right="0.75" top="1" bottom="1" header="0.5" footer="0.5"/>
  <pageSetup scale="85" orientation="landscape" r:id="rId1"/>
  <headerFooter alignWithMargins="0">
    <oddHeader>&amp;F</oddHeader>
    <oddFooter>&amp;L&amp;A&amp;C&amp;BRevenue Cabinet Confidential&amp;B&amp;RPage &amp;P</oddFooter>
  </headerFooter>
  <rowBreaks count="3" manualBreakCount="3">
    <brk id="77" max="5" man="1"/>
    <brk id="92" max="16383" man="1"/>
    <brk id="1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J193"/>
  <sheetViews>
    <sheetView zoomScaleNormal="100" workbookViewId="0">
      <pane ySplit="2" topLeftCell="A171" activePane="bottomLeft" state="frozen"/>
      <selection pane="bottomLeft" activeCell="D184" sqref="D184"/>
    </sheetView>
  </sheetViews>
  <sheetFormatPr defaultRowHeight="12" x14ac:dyDescent="0.3"/>
  <cols>
    <col min="1" max="1" width="18.625" style="1" customWidth="1"/>
    <col min="2" max="2" width="18.75" style="5" customWidth="1"/>
    <col min="3" max="3" width="1.375" style="3" customWidth="1"/>
    <col min="4" max="5" width="12.75" style="3" customWidth="1"/>
    <col min="6" max="6" width="12.75" style="4" customWidth="1"/>
    <col min="7" max="8" width="12.75" style="2" customWidth="1"/>
  </cols>
  <sheetData>
    <row r="1" spans="1:10" s="6" customFormat="1" ht="20.399999999999999" thickBot="1" x14ac:dyDescent="0.5">
      <c r="A1" s="175" t="s">
        <v>98</v>
      </c>
      <c r="B1" s="176"/>
      <c r="C1" s="176"/>
      <c r="D1" s="176"/>
      <c r="E1" s="176"/>
      <c r="F1" s="176"/>
      <c r="G1" s="176"/>
      <c r="H1" s="177"/>
    </row>
    <row r="2" spans="1:10" s="7" customFormat="1" ht="92.4" x14ac:dyDescent="0.3">
      <c r="A2" s="106" t="s">
        <v>99</v>
      </c>
      <c r="B2" s="107" t="s">
        <v>164</v>
      </c>
      <c r="C2" s="107"/>
      <c r="D2" s="131" t="s">
        <v>206</v>
      </c>
      <c r="E2" s="131" t="s">
        <v>205</v>
      </c>
      <c r="F2" s="108" t="s">
        <v>152</v>
      </c>
      <c r="G2" s="109" t="s">
        <v>100</v>
      </c>
      <c r="H2" s="109" t="s">
        <v>101</v>
      </c>
    </row>
    <row r="3" spans="1:10" ht="14.4" x14ac:dyDescent="0.3">
      <c r="A3" s="140">
        <f>DATE(1980,4,1)</f>
        <v>29312</v>
      </c>
      <c r="B3" s="110" t="s">
        <v>18</v>
      </c>
      <c r="C3" s="111"/>
      <c r="D3" s="122">
        <v>0.97919999999999996</v>
      </c>
      <c r="E3" s="132"/>
      <c r="F3" s="122"/>
      <c r="G3" s="112">
        <v>9</v>
      </c>
      <c r="H3" s="112">
        <v>9</v>
      </c>
    </row>
    <row r="4" spans="1:10" ht="14.4" x14ac:dyDescent="0.3">
      <c r="A4" s="140">
        <f>DATE(1980,7,1)</f>
        <v>29403</v>
      </c>
      <c r="B4" s="110" t="s">
        <v>20</v>
      </c>
      <c r="C4" s="111"/>
      <c r="D4" s="122">
        <v>0.98929999999999996</v>
      </c>
      <c r="E4" s="132"/>
      <c r="F4" s="122"/>
      <c r="G4" s="112">
        <v>9</v>
      </c>
      <c r="H4" s="112">
        <v>9</v>
      </c>
    </row>
    <row r="5" spans="1:10" ht="14.4" x14ac:dyDescent="0.3">
      <c r="A5" s="140">
        <f>DATE(1980,10,1)</f>
        <v>29495</v>
      </c>
      <c r="B5" s="110" t="s">
        <v>21</v>
      </c>
      <c r="C5" s="111"/>
      <c r="D5" s="122">
        <v>0.9708</v>
      </c>
      <c r="E5" s="132"/>
      <c r="F5" s="122"/>
      <c r="G5" s="112">
        <v>9</v>
      </c>
      <c r="H5" s="112">
        <v>9</v>
      </c>
    </row>
    <row r="6" spans="1:10" ht="14.4" x14ac:dyDescent="0.3">
      <c r="A6" s="140">
        <f>DATE(1981,1,1)</f>
        <v>29587</v>
      </c>
      <c r="B6" s="110" t="s">
        <v>22</v>
      </c>
      <c r="C6" s="111"/>
      <c r="D6" s="122">
        <v>1.05</v>
      </c>
      <c r="E6" s="132"/>
      <c r="F6" s="122"/>
      <c r="G6" s="112">
        <v>9.5</v>
      </c>
      <c r="H6" s="112">
        <v>9.5</v>
      </c>
      <c r="J6" s="127"/>
    </row>
    <row r="7" spans="1:10" ht="14.4" x14ac:dyDescent="0.3">
      <c r="A7" s="140">
        <f>DATE(1981,4,1)</f>
        <v>29677</v>
      </c>
      <c r="B7" s="110" t="s">
        <v>23</v>
      </c>
      <c r="C7" s="111"/>
      <c r="D7" s="122">
        <v>1.1516999999999999</v>
      </c>
      <c r="E7" s="132"/>
      <c r="F7" s="122"/>
      <c r="G7" s="112">
        <v>10.4</v>
      </c>
      <c r="H7" s="112">
        <v>10.4</v>
      </c>
    </row>
    <row r="8" spans="1:10" ht="14.4" x14ac:dyDescent="0.3">
      <c r="A8" s="140">
        <f>DATE(1981,7,1)</f>
        <v>29768</v>
      </c>
      <c r="B8" s="110" t="s">
        <v>19</v>
      </c>
      <c r="C8" s="111"/>
      <c r="D8" s="122">
        <v>1.1245000000000001</v>
      </c>
      <c r="E8" s="132"/>
      <c r="F8" s="122"/>
      <c r="G8" s="112">
        <v>10.1</v>
      </c>
      <c r="H8" s="112">
        <v>10.1</v>
      </c>
    </row>
    <row r="9" spans="1:10" ht="14.4" x14ac:dyDescent="0.3">
      <c r="A9" s="140">
        <f>DATE(1981,10,1)</f>
        <v>29860</v>
      </c>
      <c r="B9" s="110" t="s">
        <v>24</v>
      </c>
      <c r="C9" s="111"/>
      <c r="D9" s="122">
        <v>1.1133999999999999</v>
      </c>
      <c r="E9" s="132"/>
      <c r="F9" s="122"/>
      <c r="G9" s="112">
        <v>10</v>
      </c>
      <c r="H9" s="112">
        <v>10</v>
      </c>
    </row>
    <row r="10" spans="1:10" ht="14.4" x14ac:dyDescent="0.3">
      <c r="A10" s="140">
        <f>DATE(1982,1,1)</f>
        <v>29952</v>
      </c>
      <c r="B10" s="110" t="s">
        <v>25</v>
      </c>
      <c r="C10" s="111"/>
      <c r="D10" s="122">
        <v>1.0521</v>
      </c>
      <c r="E10" s="132"/>
      <c r="F10" s="122"/>
      <c r="G10" s="112">
        <v>9.5</v>
      </c>
      <c r="H10" s="112">
        <v>9.5</v>
      </c>
      <c r="J10" s="127"/>
    </row>
    <row r="11" spans="1:10" ht="14.4" x14ac:dyDescent="0.3">
      <c r="A11" s="140">
        <f>DATE(1982,4,1)</f>
        <v>30042</v>
      </c>
      <c r="B11" s="110" t="s">
        <v>26</v>
      </c>
      <c r="C11" s="111"/>
      <c r="D11" s="122">
        <v>0.94450000000000001</v>
      </c>
      <c r="E11" s="132"/>
      <c r="F11" s="122"/>
      <c r="G11" s="112">
        <v>9.8000000000000007</v>
      </c>
      <c r="H11" s="112">
        <v>9.8000000000000007</v>
      </c>
    </row>
    <row r="12" spans="1:10" ht="14.4" x14ac:dyDescent="0.3">
      <c r="A12" s="140">
        <f>DATE(1982,7,1)</f>
        <v>30133</v>
      </c>
      <c r="B12" s="110" t="s">
        <v>27</v>
      </c>
      <c r="C12" s="111"/>
      <c r="D12" s="122">
        <v>1.0698000000000001</v>
      </c>
      <c r="E12" s="132"/>
      <c r="F12" s="119">
        <v>1.1100000000000001</v>
      </c>
      <c r="G12" s="112">
        <v>10</v>
      </c>
      <c r="H12" s="112">
        <v>10</v>
      </c>
    </row>
    <row r="13" spans="1:10" ht="14.4" x14ac:dyDescent="0.3">
      <c r="A13" s="140">
        <f>DATE(1982,10,1)</f>
        <v>30225</v>
      </c>
      <c r="B13" s="110" t="s">
        <v>28</v>
      </c>
      <c r="C13" s="111"/>
      <c r="D13" s="122">
        <v>1.0232000000000001</v>
      </c>
      <c r="E13" s="132"/>
      <c r="F13" s="119">
        <v>1.1100000000000001</v>
      </c>
      <c r="G13" s="112">
        <v>10</v>
      </c>
      <c r="H13" s="112">
        <v>10</v>
      </c>
    </row>
    <row r="14" spans="1:10" ht="14.4" x14ac:dyDescent="0.3">
      <c r="A14" s="140">
        <f>DATE(1983,1,1)</f>
        <v>30317</v>
      </c>
      <c r="B14" s="110" t="s">
        <v>29</v>
      </c>
      <c r="C14" s="111"/>
      <c r="D14" s="122">
        <v>0.93020000000000003</v>
      </c>
      <c r="E14" s="132"/>
      <c r="F14" s="119">
        <v>1.1100000000000001</v>
      </c>
      <c r="G14" s="112">
        <v>10</v>
      </c>
      <c r="H14" s="112">
        <v>10</v>
      </c>
      <c r="J14" s="127"/>
    </row>
    <row r="15" spans="1:10" ht="12.75" customHeight="1" x14ac:dyDescent="0.3">
      <c r="A15" s="140">
        <f>DATE(1983,4,1)</f>
        <v>30407</v>
      </c>
      <c r="B15" s="110" t="s">
        <v>30</v>
      </c>
      <c r="C15" s="111" t="s">
        <v>44</v>
      </c>
      <c r="D15" s="122">
        <v>0.95569999999999999</v>
      </c>
      <c r="E15" s="132"/>
      <c r="F15" s="119">
        <v>1.1100000000000001</v>
      </c>
      <c r="G15" s="112">
        <v>10</v>
      </c>
      <c r="H15" s="112">
        <v>10</v>
      </c>
    </row>
    <row r="16" spans="1:10" ht="14.4" x14ac:dyDescent="0.3">
      <c r="A16" s="140">
        <f>DATE(1983,7,1)</f>
        <v>30498</v>
      </c>
      <c r="B16" s="110" t="s">
        <v>31</v>
      </c>
      <c r="C16" s="111" t="s">
        <v>44</v>
      </c>
      <c r="D16" s="122">
        <v>1.0365</v>
      </c>
      <c r="E16" s="132"/>
      <c r="F16" s="119">
        <v>1.1100000000000001</v>
      </c>
      <c r="G16" s="112">
        <v>10</v>
      </c>
      <c r="H16" s="112">
        <v>10</v>
      </c>
    </row>
    <row r="17" spans="1:10" ht="14.4" x14ac:dyDescent="0.3">
      <c r="A17" s="140">
        <f>DATE(1983,10,1)</f>
        <v>30590</v>
      </c>
      <c r="B17" s="110" t="s">
        <v>32</v>
      </c>
      <c r="C17" s="111" t="s">
        <v>44</v>
      </c>
      <c r="D17" s="122">
        <v>0.97799999999999998</v>
      </c>
      <c r="E17" s="132"/>
      <c r="F17" s="119">
        <v>1.1100000000000001</v>
      </c>
      <c r="G17" s="112">
        <v>10</v>
      </c>
      <c r="H17" s="112">
        <v>10</v>
      </c>
    </row>
    <row r="18" spans="1:10" ht="14.4" x14ac:dyDescent="0.3">
      <c r="A18" s="140">
        <f>DATE(1984,1,1)</f>
        <v>30682</v>
      </c>
      <c r="B18" s="110" t="s">
        <v>33</v>
      </c>
      <c r="C18" s="111" t="s">
        <v>44</v>
      </c>
      <c r="D18" s="122">
        <v>0.9405</v>
      </c>
      <c r="E18" s="132"/>
      <c r="F18" s="119">
        <v>1.1100000000000001</v>
      </c>
      <c r="G18" s="112">
        <v>10</v>
      </c>
      <c r="H18" s="112">
        <v>10</v>
      </c>
      <c r="J18" s="127"/>
    </row>
    <row r="19" spans="1:10" ht="14.4" x14ac:dyDescent="0.3">
      <c r="A19" s="140">
        <f>DATE(1984,4,1)</f>
        <v>30773</v>
      </c>
      <c r="B19" s="110" t="s">
        <v>34</v>
      </c>
      <c r="C19" s="111" t="s">
        <v>44</v>
      </c>
      <c r="D19" s="122">
        <v>0.97589999999999999</v>
      </c>
      <c r="E19" s="132"/>
      <c r="F19" s="119">
        <v>1.1100000000000001</v>
      </c>
      <c r="G19" s="112">
        <v>10</v>
      </c>
      <c r="H19" s="112">
        <v>10</v>
      </c>
    </row>
    <row r="20" spans="1:10" ht="14.4" x14ac:dyDescent="0.3">
      <c r="A20" s="140">
        <f>DATE(1984,7,1)</f>
        <v>30864</v>
      </c>
      <c r="B20" s="110" t="s">
        <v>35</v>
      </c>
      <c r="C20" s="111" t="s">
        <v>44</v>
      </c>
      <c r="D20" s="122">
        <v>0.92730000000000001</v>
      </c>
      <c r="E20" s="132"/>
      <c r="F20" s="119">
        <v>1.1100000000000001</v>
      </c>
      <c r="G20" s="112">
        <v>10</v>
      </c>
      <c r="H20" s="112">
        <v>10</v>
      </c>
    </row>
    <row r="21" spans="1:10" ht="14.4" x14ac:dyDescent="0.3">
      <c r="A21" s="140">
        <f>DATE(1984,10,1)</f>
        <v>30956</v>
      </c>
      <c r="B21" s="110" t="s">
        <v>36</v>
      </c>
      <c r="C21" s="111" t="s">
        <v>44</v>
      </c>
      <c r="D21" s="122">
        <v>0.94730000000000003</v>
      </c>
      <c r="E21" s="132"/>
      <c r="F21" s="119">
        <v>1.1100000000000001</v>
      </c>
      <c r="G21" s="112">
        <v>10</v>
      </c>
      <c r="H21" s="112">
        <v>10</v>
      </c>
    </row>
    <row r="22" spans="1:10" ht="14.4" x14ac:dyDescent="0.3">
      <c r="A22" s="140">
        <f>DATE(1985,1,1)</f>
        <v>31048</v>
      </c>
      <c r="B22" s="110" t="s">
        <v>37</v>
      </c>
      <c r="C22" s="111" t="s">
        <v>44</v>
      </c>
      <c r="D22" s="122">
        <v>0.8831</v>
      </c>
      <c r="E22" s="132"/>
      <c r="F22" s="119">
        <v>1.1100000000000001</v>
      </c>
      <c r="G22" s="112">
        <v>10</v>
      </c>
      <c r="H22" s="112">
        <v>10</v>
      </c>
    </row>
    <row r="23" spans="1:10" ht="14.4" x14ac:dyDescent="0.3">
      <c r="A23" s="140">
        <f>DATE(1985,4,1)</f>
        <v>31138</v>
      </c>
      <c r="B23" s="110" t="s">
        <v>38</v>
      </c>
      <c r="C23" s="111" t="s">
        <v>44</v>
      </c>
      <c r="D23" s="122">
        <v>0.96909999999999996</v>
      </c>
      <c r="E23" s="132"/>
      <c r="F23" s="119">
        <v>1.1100000000000001</v>
      </c>
      <c r="G23" s="112">
        <v>10</v>
      </c>
      <c r="H23" s="112">
        <v>10</v>
      </c>
    </row>
    <row r="24" spans="1:10" ht="14.4" x14ac:dyDescent="0.3">
      <c r="A24" s="140">
        <f>DATE(1985,7,1)</f>
        <v>31229</v>
      </c>
      <c r="B24" s="110" t="s">
        <v>39</v>
      </c>
      <c r="C24" s="111" t="s">
        <v>44</v>
      </c>
      <c r="D24" s="122">
        <v>0.97989999999999999</v>
      </c>
      <c r="E24" s="132"/>
      <c r="F24" s="119">
        <v>1.1100000000000001</v>
      </c>
      <c r="G24" s="112">
        <v>10</v>
      </c>
      <c r="H24" s="112">
        <v>10</v>
      </c>
    </row>
    <row r="25" spans="1:10" ht="14.4" x14ac:dyDescent="0.3">
      <c r="A25" s="140">
        <f>DATE(1985,10,1)</f>
        <v>31321</v>
      </c>
      <c r="B25" s="110" t="s">
        <v>40</v>
      </c>
      <c r="C25" s="111" t="s">
        <v>44</v>
      </c>
      <c r="D25" s="122">
        <v>0.94040000000000001</v>
      </c>
      <c r="E25" s="132"/>
      <c r="F25" s="119">
        <v>1.1100000000000001</v>
      </c>
      <c r="G25" s="112">
        <v>10</v>
      </c>
      <c r="H25" s="112">
        <v>10</v>
      </c>
    </row>
    <row r="26" spans="1:10" ht="14.4" x14ac:dyDescent="0.3">
      <c r="A26" s="140">
        <f>DATE(1986,1,1)</f>
        <v>31413</v>
      </c>
      <c r="B26" s="110" t="s">
        <v>41</v>
      </c>
      <c r="C26" s="111" t="s">
        <v>44</v>
      </c>
      <c r="D26" s="122">
        <v>0.9294</v>
      </c>
      <c r="E26" s="132"/>
      <c r="F26" s="119">
        <v>1.1100000000000001</v>
      </c>
      <c r="G26" s="112">
        <v>10</v>
      </c>
      <c r="H26" s="112">
        <v>10</v>
      </c>
    </row>
    <row r="27" spans="1:10" ht="14.4" x14ac:dyDescent="0.3">
      <c r="A27" s="140">
        <f>DATE(1986,4,1)</f>
        <v>31503</v>
      </c>
      <c r="B27" s="110" t="s">
        <v>42</v>
      </c>
      <c r="C27" s="111"/>
      <c r="D27" s="122">
        <v>0.65859999999999996</v>
      </c>
      <c r="E27" s="132"/>
      <c r="F27" s="119">
        <v>1.1100000000000001</v>
      </c>
      <c r="G27" s="112">
        <v>15</v>
      </c>
      <c r="H27" s="112">
        <v>12</v>
      </c>
    </row>
    <row r="28" spans="1:10" ht="14.4" x14ac:dyDescent="0.3">
      <c r="A28" s="140">
        <f>DATE(1986,7,1)</f>
        <v>31594</v>
      </c>
      <c r="B28" s="110" t="s">
        <v>43</v>
      </c>
      <c r="C28" s="111"/>
      <c r="D28" s="122">
        <v>0.56410000000000005</v>
      </c>
      <c r="E28" s="132"/>
      <c r="F28" s="119">
        <v>1.1100000000000001</v>
      </c>
      <c r="G28" s="112">
        <v>15</v>
      </c>
      <c r="H28" s="112">
        <v>12</v>
      </c>
    </row>
    <row r="29" spans="1:10" ht="14.4" x14ac:dyDescent="0.3">
      <c r="A29" s="140">
        <f>DATE(1986,10,1)</f>
        <v>31686</v>
      </c>
      <c r="B29" s="110" t="s">
        <v>45</v>
      </c>
      <c r="C29" s="111"/>
      <c r="D29" s="122">
        <v>0.5464</v>
      </c>
      <c r="E29" s="132"/>
      <c r="F29" s="119">
        <v>1.1100000000000001</v>
      </c>
      <c r="G29" s="112">
        <v>15</v>
      </c>
      <c r="H29" s="112">
        <v>12</v>
      </c>
    </row>
    <row r="30" spans="1:10" ht="14.4" x14ac:dyDescent="0.3">
      <c r="A30" s="140">
        <f>DATE(1987,1,1)</f>
        <v>31778</v>
      </c>
      <c r="B30" s="110" t="s">
        <v>46</v>
      </c>
      <c r="C30" s="111"/>
      <c r="D30" s="122">
        <v>0.58189999999999997</v>
      </c>
      <c r="E30" s="132"/>
      <c r="F30" s="119">
        <v>1.1100000000000001</v>
      </c>
      <c r="G30" s="112">
        <v>15</v>
      </c>
      <c r="H30" s="112">
        <v>12</v>
      </c>
    </row>
    <row r="31" spans="1:10" ht="14.4" x14ac:dyDescent="0.3">
      <c r="A31" s="140">
        <f>DATE(1987,4,1)</f>
        <v>31868</v>
      </c>
      <c r="B31" s="110" t="s">
        <v>47</v>
      </c>
      <c r="C31" s="111"/>
      <c r="D31" s="122">
        <v>0.65200000000000002</v>
      </c>
      <c r="E31" s="132"/>
      <c r="F31" s="119">
        <v>1.1100000000000001</v>
      </c>
      <c r="G31" s="112">
        <v>15</v>
      </c>
      <c r="H31" s="112">
        <v>12</v>
      </c>
    </row>
    <row r="32" spans="1:10" ht="14.4" x14ac:dyDescent="0.3">
      <c r="A32" s="140">
        <f>DATE(1987,7,1)</f>
        <v>31959</v>
      </c>
      <c r="B32" s="110" t="s">
        <v>48</v>
      </c>
      <c r="C32" s="111"/>
      <c r="D32" s="122">
        <v>0.6804</v>
      </c>
      <c r="E32" s="132"/>
      <c r="F32" s="119">
        <v>1.1100000000000001</v>
      </c>
      <c r="G32" s="112">
        <v>15</v>
      </c>
      <c r="H32" s="112">
        <v>12</v>
      </c>
    </row>
    <row r="33" spans="1:8" ht="14.4" x14ac:dyDescent="0.3">
      <c r="A33" s="140">
        <f>DATE(1987,10,1)</f>
        <v>32051</v>
      </c>
      <c r="B33" s="110" t="s">
        <v>49</v>
      </c>
      <c r="C33" s="111"/>
      <c r="D33" s="122">
        <v>0.64539999999999997</v>
      </c>
      <c r="E33" s="132"/>
      <c r="F33" s="119">
        <v>1.1100000000000001</v>
      </c>
      <c r="G33" s="112">
        <v>15</v>
      </c>
      <c r="H33" s="112">
        <v>12</v>
      </c>
    </row>
    <row r="34" spans="1:8" ht="14.4" x14ac:dyDescent="0.3">
      <c r="A34" s="140">
        <f>DATE(1988,1,1)</f>
        <v>32143</v>
      </c>
      <c r="B34" s="110" t="s">
        <v>50</v>
      </c>
      <c r="C34" s="111"/>
      <c r="D34" s="122">
        <v>0.58230000000000004</v>
      </c>
      <c r="E34" s="132"/>
      <c r="F34" s="119">
        <v>1.1100000000000001</v>
      </c>
      <c r="G34" s="112">
        <v>15</v>
      </c>
      <c r="H34" s="112">
        <v>12</v>
      </c>
    </row>
    <row r="35" spans="1:8" ht="14.4" x14ac:dyDescent="0.3">
      <c r="A35" s="140">
        <f>DATE(1988,4,1)</f>
        <v>32234</v>
      </c>
      <c r="B35" s="110" t="s">
        <v>51</v>
      </c>
      <c r="C35" s="111"/>
      <c r="D35" s="122">
        <v>0.65029999999999999</v>
      </c>
      <c r="E35" s="132"/>
      <c r="F35" s="119">
        <v>1.1100000000000001</v>
      </c>
      <c r="G35" s="112">
        <v>15</v>
      </c>
      <c r="H35" s="112">
        <v>12</v>
      </c>
    </row>
    <row r="36" spans="1:8" ht="14.4" x14ac:dyDescent="0.3">
      <c r="A36" s="140">
        <f>DATE(1988,7,1)</f>
        <v>32325</v>
      </c>
      <c r="B36" s="110" t="s">
        <v>52</v>
      </c>
      <c r="C36" s="111"/>
      <c r="D36" s="122">
        <v>0.69630000000000003</v>
      </c>
      <c r="E36" s="132"/>
      <c r="F36" s="119">
        <v>1.1100000000000001</v>
      </c>
      <c r="G36" s="112">
        <v>15</v>
      </c>
      <c r="H36" s="112">
        <v>12</v>
      </c>
    </row>
    <row r="37" spans="1:8" ht="14.4" x14ac:dyDescent="0.3">
      <c r="A37" s="140">
        <f>DATE(1988,10,1)</f>
        <v>32417</v>
      </c>
      <c r="B37" s="110" t="s">
        <v>53</v>
      </c>
      <c r="C37" s="111"/>
      <c r="D37" s="122">
        <v>0.62250000000000005</v>
      </c>
      <c r="E37" s="132"/>
      <c r="F37" s="119">
        <v>1.1100000000000001</v>
      </c>
      <c r="G37" s="112">
        <v>15</v>
      </c>
      <c r="H37" s="112">
        <v>12</v>
      </c>
    </row>
    <row r="38" spans="1:8" ht="14.4" x14ac:dyDescent="0.3">
      <c r="A38" s="140">
        <f>DATE(1989,1,1)</f>
        <v>32509</v>
      </c>
      <c r="B38" s="110" t="s">
        <v>54</v>
      </c>
      <c r="C38" s="111"/>
      <c r="D38" s="122">
        <v>0.64270000000000005</v>
      </c>
      <c r="E38" s="132"/>
      <c r="F38" s="119">
        <v>1.1100000000000001</v>
      </c>
      <c r="G38" s="112">
        <v>15</v>
      </c>
      <c r="H38" s="112">
        <v>12</v>
      </c>
    </row>
    <row r="39" spans="1:8" ht="14.4" x14ac:dyDescent="0.3">
      <c r="A39" s="140">
        <f>DATE(1989,4,1)</f>
        <v>32599</v>
      </c>
      <c r="B39" s="110" t="s">
        <v>55</v>
      </c>
      <c r="C39" s="111"/>
      <c r="D39" s="122">
        <v>0.81259999999999999</v>
      </c>
      <c r="E39" s="132"/>
      <c r="F39" s="119">
        <v>1.1100000000000001</v>
      </c>
      <c r="G39" s="112">
        <v>15</v>
      </c>
      <c r="H39" s="112">
        <v>12</v>
      </c>
    </row>
    <row r="40" spans="1:8" ht="14.4" x14ac:dyDescent="0.3">
      <c r="A40" s="140">
        <f>DATE(1989,7,1)</f>
        <v>32690</v>
      </c>
      <c r="B40" s="110" t="s">
        <v>56</v>
      </c>
      <c r="C40" s="111"/>
      <c r="D40" s="122">
        <v>0.77910000000000001</v>
      </c>
      <c r="E40" s="132"/>
      <c r="F40" s="119">
        <v>1.1100000000000001</v>
      </c>
      <c r="G40" s="112">
        <v>15</v>
      </c>
      <c r="H40" s="112">
        <v>12</v>
      </c>
    </row>
    <row r="41" spans="1:8" ht="14.4" x14ac:dyDescent="0.3">
      <c r="A41" s="140">
        <f>DATE(1989,10,1)</f>
        <v>32782</v>
      </c>
      <c r="B41" s="110" t="s">
        <v>57</v>
      </c>
      <c r="C41" s="111"/>
      <c r="D41" s="122">
        <v>0.73009999999999997</v>
      </c>
      <c r="E41" s="132"/>
      <c r="F41" s="119">
        <v>1.1100000000000001</v>
      </c>
      <c r="G41" s="112">
        <v>15</v>
      </c>
      <c r="H41" s="112">
        <v>12</v>
      </c>
    </row>
    <row r="42" spans="1:8" ht="14.4" x14ac:dyDescent="0.3">
      <c r="A42" s="140">
        <f>DATE(1990,1,1)</f>
        <v>32874</v>
      </c>
      <c r="B42" s="110" t="s">
        <v>58</v>
      </c>
      <c r="C42" s="111"/>
      <c r="D42" s="122">
        <v>0.7883</v>
      </c>
      <c r="E42" s="132"/>
      <c r="F42" s="119">
        <v>1.1100000000000001</v>
      </c>
      <c r="G42" s="112">
        <v>15</v>
      </c>
      <c r="H42" s="112">
        <v>12</v>
      </c>
    </row>
    <row r="43" spans="1:8" ht="14.4" x14ac:dyDescent="0.3">
      <c r="A43" s="140">
        <f>DATE(1990,4,1)</f>
        <v>32964</v>
      </c>
      <c r="B43" s="110" t="s">
        <v>59</v>
      </c>
      <c r="C43" s="111"/>
      <c r="D43" s="122">
        <v>0.77029999999999998</v>
      </c>
      <c r="E43" s="132"/>
      <c r="F43" s="119">
        <v>1.1100000000000001</v>
      </c>
      <c r="G43" s="112">
        <v>15</v>
      </c>
      <c r="H43" s="112">
        <v>12</v>
      </c>
    </row>
    <row r="44" spans="1:8" ht="14.4" x14ac:dyDescent="0.3">
      <c r="A44" s="140">
        <f>DATE(1990,7,1)</f>
        <v>33055</v>
      </c>
      <c r="B44" s="110" t="s">
        <v>60</v>
      </c>
      <c r="C44" s="111"/>
      <c r="D44" s="122">
        <v>0.74460000000000004</v>
      </c>
      <c r="E44" s="132"/>
      <c r="F44" s="119">
        <v>1.1100000000000001</v>
      </c>
      <c r="G44" s="112">
        <v>15</v>
      </c>
      <c r="H44" s="112">
        <v>12</v>
      </c>
    </row>
    <row r="45" spans="1:8" ht="14.4" x14ac:dyDescent="0.3">
      <c r="A45" s="140">
        <f>DATE(1990,10,1)</f>
        <v>33147</v>
      </c>
      <c r="B45" s="110" t="s">
        <v>61</v>
      </c>
      <c r="C45" s="111"/>
      <c r="D45" s="122">
        <v>1.0737000000000001</v>
      </c>
      <c r="E45" s="132"/>
      <c r="F45" s="119">
        <v>1.1100000000000001</v>
      </c>
      <c r="G45" s="112">
        <v>15</v>
      </c>
      <c r="H45" s="112">
        <v>12</v>
      </c>
    </row>
    <row r="46" spans="1:8" ht="14.4" x14ac:dyDescent="0.3">
      <c r="A46" s="140">
        <f>DATE(1991,1,1)</f>
        <v>33239</v>
      </c>
      <c r="B46" s="110" t="s">
        <v>62</v>
      </c>
      <c r="C46" s="111"/>
      <c r="D46" s="122">
        <v>0.83789999999999998</v>
      </c>
      <c r="E46" s="132"/>
      <c r="F46" s="119">
        <v>1.1100000000000001</v>
      </c>
      <c r="G46" s="112">
        <v>15</v>
      </c>
      <c r="H46" s="112">
        <v>12</v>
      </c>
    </row>
    <row r="47" spans="1:8" ht="14.4" x14ac:dyDescent="0.3">
      <c r="A47" s="140">
        <f>DATE(1991,4,1)</f>
        <v>33329</v>
      </c>
      <c r="B47" s="110" t="s">
        <v>63</v>
      </c>
      <c r="C47" s="111"/>
      <c r="D47" s="122">
        <v>0.76970000000000005</v>
      </c>
      <c r="E47" s="132"/>
      <c r="F47" s="119">
        <v>1.1100000000000001</v>
      </c>
      <c r="G47" s="112">
        <v>15</v>
      </c>
      <c r="H47" s="112">
        <v>12</v>
      </c>
    </row>
    <row r="48" spans="1:8" ht="14.4" x14ac:dyDescent="0.3">
      <c r="A48" s="140">
        <f>DATE(1991,7,1)</f>
        <v>33420</v>
      </c>
      <c r="B48" s="110" t="s">
        <v>64</v>
      </c>
      <c r="C48" s="111"/>
      <c r="D48" s="122">
        <v>0.76919999999999999</v>
      </c>
      <c r="E48" s="132"/>
      <c r="F48" s="119">
        <v>1.1100000000000001</v>
      </c>
      <c r="G48" s="112">
        <v>15</v>
      </c>
      <c r="H48" s="112">
        <v>12</v>
      </c>
    </row>
    <row r="49" spans="1:8" ht="14.4" x14ac:dyDescent="0.3">
      <c r="A49" s="140">
        <f>DATE(1991,10,1)</f>
        <v>33512</v>
      </c>
      <c r="B49" s="110" t="s">
        <v>65</v>
      </c>
      <c r="C49" s="111"/>
      <c r="D49" s="122">
        <v>0.7712</v>
      </c>
      <c r="E49" s="132"/>
      <c r="F49" s="119">
        <v>1.1100000000000001</v>
      </c>
      <c r="G49" s="112">
        <v>15</v>
      </c>
      <c r="H49" s="112">
        <v>12</v>
      </c>
    </row>
    <row r="50" spans="1:8" ht="14.4" x14ac:dyDescent="0.3">
      <c r="A50" s="140">
        <f>DATE(1992,1,1)</f>
        <v>33604</v>
      </c>
      <c r="B50" s="110" t="s">
        <v>66</v>
      </c>
      <c r="C50" s="111"/>
      <c r="D50" s="122">
        <v>0.65300000000000002</v>
      </c>
      <c r="E50" s="132"/>
      <c r="F50" s="119">
        <v>1.1100000000000001</v>
      </c>
      <c r="G50" s="112">
        <v>15</v>
      </c>
      <c r="H50" s="112">
        <v>12</v>
      </c>
    </row>
    <row r="51" spans="1:8" ht="14.4" x14ac:dyDescent="0.3">
      <c r="A51" s="140">
        <f>DATE(1992,4,1)</f>
        <v>33695</v>
      </c>
      <c r="B51" s="110" t="s">
        <v>67</v>
      </c>
      <c r="C51" s="111"/>
      <c r="D51" s="122">
        <v>0.72070000000000001</v>
      </c>
      <c r="E51" s="132"/>
      <c r="F51" s="119">
        <v>1.1100000000000001</v>
      </c>
      <c r="G51" s="112">
        <v>15</v>
      </c>
      <c r="H51" s="112">
        <v>12</v>
      </c>
    </row>
    <row r="52" spans="1:8" ht="14.4" x14ac:dyDescent="0.3">
      <c r="A52" s="140">
        <f>DATE(1992,7,1)</f>
        <v>33786</v>
      </c>
      <c r="B52" s="110" t="s">
        <v>68</v>
      </c>
      <c r="C52" s="111"/>
      <c r="D52" s="122">
        <v>0.71819999999999995</v>
      </c>
      <c r="E52" s="132"/>
      <c r="F52" s="119">
        <v>1.1100000000000001</v>
      </c>
      <c r="G52" s="112">
        <v>15</v>
      </c>
      <c r="H52" s="112">
        <v>12</v>
      </c>
    </row>
    <row r="53" spans="1:8" ht="14.4" x14ac:dyDescent="0.3">
      <c r="A53" s="140">
        <f>DATE(1992,10,1)</f>
        <v>33878</v>
      </c>
      <c r="B53" s="110" t="s">
        <v>69</v>
      </c>
      <c r="C53" s="111"/>
      <c r="D53" s="122">
        <v>0.79720000000000002</v>
      </c>
      <c r="E53" s="132"/>
      <c r="F53" s="119">
        <v>1.1100000000000001</v>
      </c>
      <c r="G53" s="112">
        <v>15</v>
      </c>
      <c r="H53" s="112">
        <v>12</v>
      </c>
    </row>
    <row r="54" spans="1:8" ht="14.4" x14ac:dyDescent="0.3">
      <c r="A54" s="140">
        <f>DATE(1993,1,1)</f>
        <v>33970</v>
      </c>
      <c r="B54" s="110" t="s">
        <v>70</v>
      </c>
      <c r="C54" s="111"/>
      <c r="D54" s="122"/>
      <c r="E54" s="132"/>
      <c r="F54" s="119">
        <v>1.1100000000000001</v>
      </c>
      <c r="G54" s="112">
        <v>15</v>
      </c>
      <c r="H54" s="112">
        <v>12</v>
      </c>
    </row>
    <row r="55" spans="1:8" ht="14.4" x14ac:dyDescent="0.3">
      <c r="A55" s="140">
        <f>DATE(1993,4,1)</f>
        <v>34060</v>
      </c>
      <c r="B55" s="110" t="s">
        <v>71</v>
      </c>
      <c r="C55" s="111"/>
      <c r="D55" s="122">
        <v>0.73609999999999998</v>
      </c>
      <c r="E55" s="132"/>
      <c r="F55" s="119">
        <v>1.1100000000000001</v>
      </c>
      <c r="G55" s="112">
        <v>15</v>
      </c>
      <c r="H55" s="112">
        <v>12</v>
      </c>
    </row>
    <row r="56" spans="1:8" ht="14.4" x14ac:dyDescent="0.3">
      <c r="A56" s="140">
        <f>DATE(1993,7,1)</f>
        <v>34151</v>
      </c>
      <c r="B56" s="110" t="s">
        <v>72</v>
      </c>
      <c r="C56" s="111"/>
      <c r="D56" s="122">
        <v>0.73180000000000001</v>
      </c>
      <c r="E56" s="132"/>
      <c r="F56" s="119">
        <v>1.1100000000000001</v>
      </c>
      <c r="G56" s="112">
        <v>15</v>
      </c>
      <c r="H56" s="112">
        <v>12</v>
      </c>
    </row>
    <row r="57" spans="1:8" ht="14.4" x14ac:dyDescent="0.3">
      <c r="A57" s="140">
        <f>DATE(1993,10,1)</f>
        <v>34243</v>
      </c>
      <c r="B57" s="110" t="s">
        <v>73</v>
      </c>
      <c r="C57" s="111"/>
      <c r="D57" s="122">
        <v>0.68310000000000004</v>
      </c>
      <c r="E57" s="132"/>
      <c r="F57" s="119">
        <v>1.1100000000000001</v>
      </c>
      <c r="G57" s="112">
        <v>15</v>
      </c>
      <c r="H57" s="112">
        <v>12</v>
      </c>
    </row>
    <row r="58" spans="1:8" ht="14.4" x14ac:dyDescent="0.3">
      <c r="A58" s="140">
        <f>DATE(1994,1,1)</f>
        <v>34335</v>
      </c>
      <c r="B58" s="110" t="s">
        <v>74</v>
      </c>
      <c r="C58" s="111"/>
      <c r="D58" s="122">
        <v>0.622</v>
      </c>
      <c r="E58" s="132"/>
      <c r="F58" s="119">
        <v>1.1100000000000001</v>
      </c>
      <c r="G58" s="112">
        <v>15</v>
      </c>
      <c r="H58" s="112">
        <v>12</v>
      </c>
    </row>
    <row r="59" spans="1:8" ht="14.4" x14ac:dyDescent="0.3">
      <c r="A59" s="140">
        <f>DATE(1994,4,1)</f>
        <v>34425</v>
      </c>
      <c r="B59" s="110" t="s">
        <v>75</v>
      </c>
      <c r="C59" s="111"/>
      <c r="D59" s="122">
        <v>0.65210000000000001</v>
      </c>
      <c r="E59" s="132"/>
      <c r="F59" s="119">
        <v>1.1100000000000001</v>
      </c>
      <c r="G59" s="112">
        <v>15</v>
      </c>
      <c r="H59" s="112">
        <v>12</v>
      </c>
    </row>
    <row r="60" spans="1:8" ht="14.4" x14ac:dyDescent="0.3">
      <c r="A60" s="140">
        <f>DATE(1994,7,1)</f>
        <v>34516</v>
      </c>
      <c r="B60" s="110" t="s">
        <v>76</v>
      </c>
      <c r="C60" s="111"/>
      <c r="D60" s="122">
        <v>0.7359</v>
      </c>
      <c r="E60" s="132"/>
      <c r="F60" s="119">
        <v>1.1100000000000001</v>
      </c>
      <c r="G60" s="112">
        <v>15</v>
      </c>
      <c r="H60" s="112">
        <v>12</v>
      </c>
    </row>
    <row r="61" spans="1:8" ht="14.4" x14ac:dyDescent="0.3">
      <c r="A61" s="140">
        <f>DATE(1994,10,1)</f>
        <v>34608</v>
      </c>
      <c r="B61" s="110" t="s">
        <v>77</v>
      </c>
      <c r="C61" s="111"/>
      <c r="D61" s="122">
        <v>0.68230000000000002</v>
      </c>
      <c r="E61" s="132"/>
      <c r="F61" s="119">
        <v>1.1100000000000001</v>
      </c>
      <c r="G61" s="112">
        <v>15</v>
      </c>
      <c r="H61" s="112">
        <v>12</v>
      </c>
    </row>
    <row r="62" spans="1:8" ht="14.4" x14ac:dyDescent="0.3">
      <c r="A62" s="140">
        <f>DATE(1995,1,1)</f>
        <v>34700</v>
      </c>
      <c r="B62" s="110" t="s">
        <v>78</v>
      </c>
      <c r="C62" s="111"/>
      <c r="D62" s="122">
        <v>0.6421</v>
      </c>
      <c r="E62" s="132"/>
      <c r="F62" s="119">
        <v>1.1100000000000001</v>
      </c>
      <c r="G62" s="112">
        <v>15</v>
      </c>
      <c r="H62" s="112">
        <v>12</v>
      </c>
    </row>
    <row r="63" spans="1:8" ht="14.4" x14ac:dyDescent="0.3">
      <c r="A63" s="140">
        <f>DATE(1995,4,1)</f>
        <v>34790</v>
      </c>
      <c r="B63" s="110" t="s">
        <v>79</v>
      </c>
      <c r="C63" s="111"/>
      <c r="D63" s="122">
        <v>0.69779999999999998</v>
      </c>
      <c r="E63" s="132"/>
      <c r="F63" s="119">
        <v>1.1100000000000001</v>
      </c>
      <c r="G63" s="112">
        <v>15</v>
      </c>
      <c r="H63" s="112">
        <v>12</v>
      </c>
    </row>
    <row r="64" spans="1:8" ht="14.4" x14ac:dyDescent="0.3">
      <c r="A64" s="140">
        <f>DATE(1995,7,1)</f>
        <v>34881</v>
      </c>
      <c r="B64" s="110" t="s">
        <v>80</v>
      </c>
      <c r="C64" s="111"/>
      <c r="D64" s="122">
        <v>0.65259999999999996</v>
      </c>
      <c r="E64" s="132"/>
      <c r="F64" s="119">
        <v>1.1100000000000001</v>
      </c>
      <c r="G64" s="112">
        <v>15</v>
      </c>
      <c r="H64" s="112">
        <v>12</v>
      </c>
    </row>
    <row r="65" spans="1:8" ht="14.4" x14ac:dyDescent="0.3">
      <c r="A65" s="140">
        <f>DATE(1995,10,1)</f>
        <v>34973</v>
      </c>
      <c r="B65" s="110" t="s">
        <v>81</v>
      </c>
      <c r="C65" s="111"/>
      <c r="D65" s="122">
        <v>0.60189999999999999</v>
      </c>
      <c r="E65" s="132"/>
      <c r="F65" s="119">
        <v>1.1100000000000001</v>
      </c>
      <c r="G65" s="112">
        <v>15</v>
      </c>
      <c r="H65" s="112">
        <v>12</v>
      </c>
    </row>
    <row r="66" spans="1:8" ht="14.4" x14ac:dyDescent="0.3">
      <c r="A66" s="140">
        <f>DATE(1996,1,1)</f>
        <v>35065</v>
      </c>
      <c r="B66" s="110" t="s">
        <v>82</v>
      </c>
      <c r="C66" s="111"/>
      <c r="D66" s="122">
        <v>0.6341</v>
      </c>
      <c r="E66" s="132"/>
      <c r="F66" s="119">
        <v>1.1100000000000001</v>
      </c>
      <c r="G66" s="112">
        <v>15</v>
      </c>
      <c r="H66" s="112">
        <v>12</v>
      </c>
    </row>
    <row r="67" spans="1:8" ht="14.4" x14ac:dyDescent="0.3">
      <c r="A67" s="140">
        <f>DATE(1996,4,1)</f>
        <v>35156</v>
      </c>
      <c r="B67" s="110" t="s">
        <v>83</v>
      </c>
      <c r="C67" s="111"/>
      <c r="D67" s="122">
        <v>0.7732</v>
      </c>
      <c r="E67" s="132"/>
      <c r="F67" s="119">
        <v>1.1100000000000001</v>
      </c>
      <c r="G67" s="112">
        <v>15</v>
      </c>
      <c r="H67" s="112">
        <v>12</v>
      </c>
    </row>
    <row r="68" spans="1:8" ht="14.4" x14ac:dyDescent="0.3">
      <c r="A68" s="140">
        <f>DATE(1996,7,1)</f>
        <v>35247</v>
      </c>
      <c r="B68" s="110" t="s">
        <v>84</v>
      </c>
      <c r="C68" s="111"/>
      <c r="D68" s="122">
        <v>0.752</v>
      </c>
      <c r="E68" s="132"/>
      <c r="F68" s="119">
        <v>1.1100000000000001</v>
      </c>
      <c r="G68" s="112">
        <v>15</v>
      </c>
      <c r="H68" s="112">
        <v>12</v>
      </c>
    </row>
    <row r="69" spans="1:8" ht="14.4" x14ac:dyDescent="0.3">
      <c r="A69" s="140">
        <f>DATE(1996,10,1)</f>
        <v>35339</v>
      </c>
      <c r="B69" s="110" t="s">
        <v>85</v>
      </c>
      <c r="C69" s="111"/>
      <c r="D69" s="122">
        <v>0.78659999999999997</v>
      </c>
      <c r="E69" s="132"/>
      <c r="F69" s="119">
        <v>1.1100000000000001</v>
      </c>
      <c r="G69" s="112">
        <v>15</v>
      </c>
      <c r="H69" s="112">
        <v>12</v>
      </c>
    </row>
    <row r="70" spans="1:8" ht="14.4" x14ac:dyDescent="0.3">
      <c r="A70" s="140">
        <f>DATE(1997,1,1)</f>
        <v>35431</v>
      </c>
      <c r="B70" s="110" t="s">
        <v>86</v>
      </c>
      <c r="C70" s="111"/>
      <c r="D70" s="122">
        <v>0.78739999999999999</v>
      </c>
      <c r="E70" s="132"/>
      <c r="F70" s="119">
        <v>1.1100000000000001</v>
      </c>
      <c r="G70" s="112">
        <v>15</v>
      </c>
      <c r="H70" s="112">
        <v>12</v>
      </c>
    </row>
    <row r="71" spans="1:8" ht="14.25" customHeight="1" x14ac:dyDescent="0.3">
      <c r="A71" s="140">
        <f>DATE(1997,4,1)</f>
        <v>35521</v>
      </c>
      <c r="B71" s="110" t="s">
        <v>87</v>
      </c>
      <c r="C71" s="111"/>
      <c r="D71" s="122">
        <v>0.74429999999999996</v>
      </c>
      <c r="E71" s="132"/>
      <c r="F71" s="119">
        <v>1.1100000000000001</v>
      </c>
      <c r="G71" s="112">
        <v>15</v>
      </c>
      <c r="H71" s="112">
        <v>12</v>
      </c>
    </row>
    <row r="72" spans="1:8" ht="13.5" customHeight="1" x14ac:dyDescent="0.3">
      <c r="A72" s="140">
        <f>DATE(1997,7,1)</f>
        <v>35612</v>
      </c>
      <c r="B72" s="110" t="s">
        <v>88</v>
      </c>
      <c r="C72" s="111"/>
      <c r="D72" s="122">
        <v>0.7157</v>
      </c>
      <c r="E72" s="132"/>
      <c r="F72" s="119">
        <v>1.1100000000000001</v>
      </c>
      <c r="G72" s="112">
        <v>15</v>
      </c>
      <c r="H72" s="112">
        <v>12</v>
      </c>
    </row>
    <row r="73" spans="1:8" ht="14.4" x14ac:dyDescent="0.3">
      <c r="A73" s="140">
        <f>DATE(1997,10,1)</f>
        <v>35704</v>
      </c>
      <c r="B73" s="110" t="s">
        <v>89</v>
      </c>
      <c r="C73" s="111"/>
      <c r="D73" s="122">
        <v>0.68700000000000006</v>
      </c>
      <c r="E73" s="132"/>
      <c r="F73" s="119">
        <v>1.1100000000000001</v>
      </c>
      <c r="G73" s="112">
        <v>15</v>
      </c>
      <c r="H73" s="112">
        <v>12</v>
      </c>
    </row>
    <row r="74" spans="1:8" ht="14.4" x14ac:dyDescent="0.3">
      <c r="A74" s="140">
        <f>DATE(1998,1,1)</f>
        <v>35796</v>
      </c>
      <c r="B74" s="110" t="s">
        <v>90</v>
      </c>
      <c r="C74" s="111"/>
      <c r="D74" s="122">
        <v>0.58760000000000001</v>
      </c>
      <c r="E74" s="132"/>
      <c r="F74" s="119">
        <v>1.1100000000000001</v>
      </c>
      <c r="G74" s="112">
        <v>15</v>
      </c>
      <c r="H74" s="112">
        <v>12</v>
      </c>
    </row>
    <row r="75" spans="1:8" ht="14.4" x14ac:dyDescent="0.3">
      <c r="A75" s="140">
        <f>DATE(1998,4,1)</f>
        <v>35886</v>
      </c>
      <c r="B75" s="110" t="s">
        <v>91</v>
      </c>
      <c r="C75" s="111"/>
      <c r="D75" s="122">
        <v>0.59950000000000003</v>
      </c>
      <c r="E75" s="132"/>
      <c r="F75" s="119">
        <v>1.1100000000000001</v>
      </c>
      <c r="G75" s="112">
        <v>15</v>
      </c>
      <c r="H75" s="112">
        <v>12</v>
      </c>
    </row>
    <row r="76" spans="1:8" ht="14.4" x14ac:dyDescent="0.3">
      <c r="A76" s="140">
        <f>DATE(1998,7,1)</f>
        <v>35977</v>
      </c>
      <c r="B76" s="110" t="s">
        <v>92</v>
      </c>
      <c r="C76" s="111"/>
      <c r="D76" s="122">
        <v>0.57399999999999995</v>
      </c>
      <c r="E76" s="132"/>
      <c r="F76" s="119">
        <v>1.1100000000000001</v>
      </c>
      <c r="G76" s="112">
        <v>15</v>
      </c>
      <c r="H76" s="112">
        <v>12</v>
      </c>
    </row>
    <row r="77" spans="1:8" ht="14.4" x14ac:dyDescent="0.3">
      <c r="A77" s="140">
        <f>DATE(1998,10,1)</f>
        <v>36069</v>
      </c>
      <c r="B77" s="110" t="s">
        <v>93</v>
      </c>
      <c r="C77" s="111"/>
      <c r="D77" s="122">
        <v>0.55510000000000004</v>
      </c>
      <c r="E77" s="132"/>
      <c r="F77" s="119">
        <v>1.1100000000000001</v>
      </c>
      <c r="G77" s="112">
        <v>15</v>
      </c>
      <c r="H77" s="112">
        <v>12</v>
      </c>
    </row>
    <row r="78" spans="1:8" ht="14.4" x14ac:dyDescent="0.3">
      <c r="A78" s="140">
        <f>DATE(1999,1,1)</f>
        <v>36161</v>
      </c>
      <c r="B78" s="110" t="s">
        <v>94</v>
      </c>
      <c r="C78" s="111"/>
      <c r="D78" s="122">
        <v>0.4582</v>
      </c>
      <c r="E78" s="132"/>
      <c r="F78" s="119">
        <v>1.1100000000000001</v>
      </c>
      <c r="G78" s="112">
        <v>15</v>
      </c>
      <c r="H78" s="112">
        <v>12</v>
      </c>
    </row>
    <row r="79" spans="1:8" ht="14.4" x14ac:dyDescent="0.3">
      <c r="A79" s="140">
        <f>DATE(1999,4,1)</f>
        <v>36251</v>
      </c>
      <c r="B79" s="110" t="s">
        <v>95</v>
      </c>
      <c r="C79" s="111"/>
      <c r="D79" s="122">
        <v>0.66020000000000001</v>
      </c>
      <c r="E79" s="132"/>
      <c r="F79" s="119">
        <v>1.1100000000000001</v>
      </c>
      <c r="G79" s="112">
        <v>15</v>
      </c>
      <c r="H79" s="112">
        <v>12</v>
      </c>
    </row>
    <row r="80" spans="1:8" ht="14.4" x14ac:dyDescent="0.3">
      <c r="A80" s="140">
        <f>DATE(1999,7,1)</f>
        <v>36342</v>
      </c>
      <c r="B80" s="110" t="s">
        <v>96</v>
      </c>
      <c r="C80" s="111"/>
      <c r="D80" s="122">
        <v>0.72529999999999994</v>
      </c>
      <c r="E80" s="132"/>
      <c r="F80" s="119">
        <v>1.1100000000000001</v>
      </c>
      <c r="G80" s="112">
        <v>15</v>
      </c>
      <c r="H80" s="112">
        <v>12</v>
      </c>
    </row>
    <row r="81" spans="1:8" ht="14.4" x14ac:dyDescent="0.3">
      <c r="A81" s="140">
        <f>DATE(1999,10,1)</f>
        <v>36434</v>
      </c>
      <c r="B81" s="110" t="s">
        <v>97</v>
      </c>
      <c r="C81" s="111"/>
      <c r="D81" s="122">
        <v>0.7772</v>
      </c>
      <c r="E81" s="132"/>
      <c r="F81" s="119">
        <v>1.1100000000000001</v>
      </c>
      <c r="G81" s="112">
        <v>15</v>
      </c>
      <c r="H81" s="112">
        <v>12</v>
      </c>
    </row>
    <row r="82" spans="1:8" ht="14.4" x14ac:dyDescent="0.3">
      <c r="A82" s="140">
        <f>DATE(2000,1,1)</f>
        <v>36526</v>
      </c>
      <c r="B82" s="110" t="s">
        <v>102</v>
      </c>
      <c r="C82" s="111"/>
      <c r="D82" s="122">
        <v>0.85189999999999999</v>
      </c>
      <c r="E82" s="132"/>
      <c r="F82" s="119">
        <v>1.1100000000000001</v>
      </c>
      <c r="G82" s="112">
        <v>15</v>
      </c>
      <c r="H82" s="112">
        <v>12</v>
      </c>
    </row>
    <row r="83" spans="1:8" ht="14.4" x14ac:dyDescent="0.3">
      <c r="A83" s="140">
        <f>DATE(2000,4,1)</f>
        <v>36617</v>
      </c>
      <c r="B83" s="110" t="s">
        <v>103</v>
      </c>
      <c r="C83" s="111"/>
      <c r="D83" s="122">
        <v>0.89880000000000004</v>
      </c>
      <c r="E83" s="132"/>
      <c r="F83" s="119">
        <v>1.1100000000000001</v>
      </c>
      <c r="G83" s="112">
        <v>15</v>
      </c>
      <c r="H83" s="112">
        <v>12</v>
      </c>
    </row>
    <row r="84" spans="1:8" ht="14.4" x14ac:dyDescent="0.3">
      <c r="A84" s="140">
        <f>DATE(2000,7,1)</f>
        <v>36708</v>
      </c>
      <c r="B84" s="110" t="s">
        <v>104</v>
      </c>
      <c r="C84" s="111"/>
      <c r="D84" s="122">
        <v>1.0119</v>
      </c>
      <c r="E84" s="132"/>
      <c r="F84" s="119">
        <v>1.1100000000000001</v>
      </c>
      <c r="G84" s="112">
        <v>15</v>
      </c>
      <c r="H84" s="112">
        <v>12</v>
      </c>
    </row>
    <row r="85" spans="1:8" ht="14.4" x14ac:dyDescent="0.3">
      <c r="A85" s="140">
        <f>DATE(2000,10,1)</f>
        <v>36800</v>
      </c>
      <c r="B85" s="110" t="s">
        <v>105</v>
      </c>
      <c r="C85" s="111"/>
      <c r="D85" s="122">
        <v>1.0269999999999999</v>
      </c>
      <c r="E85" s="132"/>
      <c r="F85" s="119">
        <v>1.1100000000000001</v>
      </c>
      <c r="G85" s="112">
        <v>15</v>
      </c>
      <c r="H85" s="112">
        <v>12</v>
      </c>
    </row>
    <row r="86" spans="1:8" ht="14.4" x14ac:dyDescent="0.3">
      <c r="A86" s="140">
        <f>DATE(2001,1,1)</f>
        <v>36892</v>
      </c>
      <c r="B86" s="110" t="s">
        <v>127</v>
      </c>
      <c r="C86" s="111"/>
      <c r="D86" s="122">
        <v>0.96399999999999997</v>
      </c>
      <c r="E86" s="132"/>
      <c r="F86" s="119">
        <v>1.1100000000000001</v>
      </c>
      <c r="G86" s="112">
        <v>15</v>
      </c>
      <c r="H86" s="112">
        <v>12</v>
      </c>
    </row>
    <row r="87" spans="1:8" ht="14.4" x14ac:dyDescent="0.3">
      <c r="A87" s="140">
        <f>DATE(2001,4,1)</f>
        <v>36982</v>
      </c>
      <c r="B87" s="110" t="s">
        <v>128</v>
      </c>
      <c r="C87" s="111"/>
      <c r="D87" s="122">
        <v>1.0900000000000001</v>
      </c>
      <c r="E87" s="132"/>
      <c r="F87" s="119">
        <v>1.1100000000000001</v>
      </c>
      <c r="G87" s="112">
        <v>15</v>
      </c>
      <c r="H87" s="112">
        <v>12</v>
      </c>
    </row>
    <row r="88" spans="1:8" ht="14.4" x14ac:dyDescent="0.3">
      <c r="A88" s="140">
        <f>DATE(2001,7,1)</f>
        <v>37073</v>
      </c>
      <c r="B88" s="110" t="s">
        <v>129</v>
      </c>
      <c r="C88" s="111"/>
      <c r="D88" s="122">
        <v>0.79300000000000004</v>
      </c>
      <c r="E88" s="132"/>
      <c r="F88" s="119">
        <v>1.1100000000000001</v>
      </c>
      <c r="G88" s="112">
        <v>15</v>
      </c>
      <c r="H88" s="112">
        <v>12</v>
      </c>
    </row>
    <row r="89" spans="1:8" ht="14.4" x14ac:dyDescent="0.3">
      <c r="A89" s="140">
        <f>DATE(2001,10,1)</f>
        <v>37165</v>
      </c>
      <c r="B89" s="110" t="s">
        <v>130</v>
      </c>
      <c r="C89" s="111"/>
      <c r="D89" s="122">
        <v>0.70799999999999996</v>
      </c>
      <c r="E89" s="132"/>
      <c r="F89" s="119">
        <v>1.1100000000000001</v>
      </c>
      <c r="G89" s="112">
        <v>15</v>
      </c>
      <c r="H89" s="112">
        <v>12</v>
      </c>
    </row>
    <row r="90" spans="1:8" ht="14.4" x14ac:dyDescent="0.3">
      <c r="A90" s="140">
        <f>DATE(2002,1,1)</f>
        <v>37257</v>
      </c>
      <c r="B90" s="110" t="s">
        <v>133</v>
      </c>
      <c r="C90" s="111"/>
      <c r="D90" s="122">
        <v>0.63600000000000001</v>
      </c>
      <c r="E90" s="132"/>
      <c r="F90" s="119">
        <v>1.1100000000000001</v>
      </c>
      <c r="G90" s="112">
        <v>15</v>
      </c>
      <c r="H90" s="112">
        <v>12</v>
      </c>
    </row>
    <row r="91" spans="1:8" ht="14.4" x14ac:dyDescent="0.3">
      <c r="A91" s="140">
        <f>DATE(2002,4,1)</f>
        <v>37347</v>
      </c>
      <c r="B91" s="110" t="s">
        <v>134</v>
      </c>
      <c r="C91" s="111"/>
      <c r="D91" s="122">
        <v>0.874</v>
      </c>
      <c r="E91" s="132"/>
      <c r="F91" s="119">
        <v>1.1100000000000001</v>
      </c>
      <c r="G91" s="112">
        <v>15</v>
      </c>
      <c r="H91" s="112">
        <v>12</v>
      </c>
    </row>
    <row r="92" spans="1:8" ht="14.4" x14ac:dyDescent="0.3">
      <c r="A92" s="140">
        <f>DATE(2002,7,1)</f>
        <v>37438</v>
      </c>
      <c r="B92" s="110" t="s">
        <v>135</v>
      </c>
      <c r="C92" s="111"/>
      <c r="D92" s="122">
        <v>0.873</v>
      </c>
      <c r="E92" s="132"/>
      <c r="F92" s="119">
        <v>1.1100000000000001</v>
      </c>
      <c r="G92" s="112">
        <v>15</v>
      </c>
      <c r="H92" s="112">
        <v>12</v>
      </c>
    </row>
    <row r="93" spans="1:8" ht="14.4" x14ac:dyDescent="0.3">
      <c r="A93" s="140">
        <f>DATE(2002,10,1)</f>
        <v>37530</v>
      </c>
      <c r="B93" s="110" t="s">
        <v>136</v>
      </c>
      <c r="C93" s="111"/>
      <c r="D93" s="122">
        <v>0.96299999999999997</v>
      </c>
      <c r="E93" s="132"/>
      <c r="F93" s="119">
        <v>1.1100000000000001</v>
      </c>
      <c r="G93" s="112">
        <v>15</v>
      </c>
      <c r="H93" s="112">
        <v>12</v>
      </c>
    </row>
    <row r="94" spans="1:8" ht="14.4" x14ac:dyDescent="0.3">
      <c r="A94" s="140">
        <f>DATE(2003,1,1)</f>
        <v>37622</v>
      </c>
      <c r="B94" s="110" t="s">
        <v>138</v>
      </c>
      <c r="C94" s="111"/>
      <c r="D94" s="122">
        <v>0.96799999999999997</v>
      </c>
      <c r="E94" s="132"/>
      <c r="F94" s="119">
        <v>1.1100000000000001</v>
      </c>
      <c r="G94" s="112">
        <v>15</v>
      </c>
      <c r="H94" s="112">
        <v>12</v>
      </c>
    </row>
    <row r="95" spans="1:8" ht="14.4" x14ac:dyDescent="0.3">
      <c r="A95" s="140">
        <f>DATE(2003,4,1)</f>
        <v>37712</v>
      </c>
      <c r="B95" s="110" t="s">
        <v>139</v>
      </c>
      <c r="C95" s="111"/>
      <c r="D95" s="122">
        <v>0.96</v>
      </c>
      <c r="E95" s="132"/>
      <c r="F95" s="119">
        <v>1.1100000000000001</v>
      </c>
      <c r="G95" s="112">
        <v>15</v>
      </c>
      <c r="H95" s="112">
        <v>12</v>
      </c>
    </row>
    <row r="96" spans="1:8" ht="14.4" x14ac:dyDescent="0.3">
      <c r="A96" s="140">
        <f>DATE(2003,7,1)</f>
        <v>37803</v>
      </c>
      <c r="B96" s="110" t="s">
        <v>140</v>
      </c>
      <c r="C96" s="111"/>
      <c r="D96" s="122">
        <v>0.873</v>
      </c>
      <c r="E96" s="132"/>
      <c r="F96" s="119">
        <v>1.1100000000000001</v>
      </c>
      <c r="G96" s="112">
        <v>15</v>
      </c>
      <c r="H96" s="112">
        <v>12</v>
      </c>
    </row>
    <row r="97" spans="1:8" ht="14.4" x14ac:dyDescent="0.3">
      <c r="A97" s="140">
        <f>DATE(2003,10,1)</f>
        <v>37895</v>
      </c>
      <c r="B97" s="110" t="s">
        <v>141</v>
      </c>
      <c r="C97" s="111"/>
      <c r="D97" s="122">
        <v>0.96799999999999997</v>
      </c>
      <c r="E97" s="132"/>
      <c r="F97" s="119">
        <v>1.1100000000000001</v>
      </c>
      <c r="G97" s="112">
        <v>15</v>
      </c>
      <c r="H97" s="112">
        <v>12</v>
      </c>
    </row>
    <row r="98" spans="1:8" ht="14.4" x14ac:dyDescent="0.3">
      <c r="A98" s="140">
        <f>DATE(2004,1,1)</f>
        <v>37987</v>
      </c>
      <c r="B98" s="113" t="s">
        <v>142</v>
      </c>
      <c r="C98" s="114"/>
      <c r="D98" s="123">
        <v>1.0580000000000001</v>
      </c>
      <c r="E98" s="134"/>
      <c r="F98" s="120">
        <v>1.1100000000000001</v>
      </c>
      <c r="G98" s="115">
        <v>15</v>
      </c>
      <c r="H98" s="115">
        <v>12</v>
      </c>
    </row>
    <row r="99" spans="1:8" ht="14.4" x14ac:dyDescent="0.3">
      <c r="A99" s="140">
        <f>DATE(2004,4,1)</f>
        <v>38078</v>
      </c>
      <c r="B99" s="110" t="s">
        <v>143</v>
      </c>
      <c r="C99" s="111"/>
      <c r="D99" s="123">
        <v>1.27</v>
      </c>
      <c r="E99" s="134"/>
      <c r="F99" s="119">
        <v>1.22</v>
      </c>
      <c r="G99" s="112">
        <v>16</v>
      </c>
      <c r="H99" s="112">
        <v>13</v>
      </c>
    </row>
    <row r="100" spans="1:8" ht="14.4" x14ac:dyDescent="0.3">
      <c r="A100" s="140">
        <f>DATE(2004,7,1)</f>
        <v>38169</v>
      </c>
      <c r="B100" s="110" t="s">
        <v>144</v>
      </c>
      <c r="C100" s="111"/>
      <c r="D100" s="123">
        <v>1.3460000000000001</v>
      </c>
      <c r="E100" s="134"/>
      <c r="F100" s="119">
        <v>1.22</v>
      </c>
      <c r="G100" s="112">
        <v>16</v>
      </c>
      <c r="H100" s="112">
        <v>13</v>
      </c>
    </row>
    <row r="101" spans="1:8" ht="14.4" x14ac:dyDescent="0.3">
      <c r="A101" s="140">
        <f>DATE(2004,10,1)</f>
        <v>38261</v>
      </c>
      <c r="B101" s="110" t="s">
        <v>146</v>
      </c>
      <c r="C101" s="111"/>
      <c r="D101" s="123">
        <v>1.4810000000000001</v>
      </c>
      <c r="E101" s="134"/>
      <c r="F101" s="119">
        <v>1.22</v>
      </c>
      <c r="G101" s="112">
        <v>16</v>
      </c>
      <c r="H101" s="112">
        <v>13</v>
      </c>
    </row>
    <row r="102" spans="1:8" ht="14.4" x14ac:dyDescent="0.3">
      <c r="A102" s="140">
        <f>DATE(2005,1,1)</f>
        <v>38353</v>
      </c>
      <c r="B102" s="110" t="s">
        <v>147</v>
      </c>
      <c r="C102" s="111"/>
      <c r="D102" s="123">
        <v>1.3360000000000001</v>
      </c>
      <c r="E102" s="134"/>
      <c r="F102" s="119">
        <v>1.22</v>
      </c>
      <c r="G102" s="112">
        <v>16</v>
      </c>
      <c r="H102" s="112">
        <v>13</v>
      </c>
    </row>
    <row r="103" spans="1:8" ht="14.4" x14ac:dyDescent="0.3">
      <c r="A103" s="140">
        <f>DATE(2005,4,1)</f>
        <v>38443</v>
      </c>
      <c r="B103" s="110" t="s">
        <v>148</v>
      </c>
      <c r="C103" s="111"/>
      <c r="D103" s="123">
        <v>1.6</v>
      </c>
      <c r="E103" s="134"/>
      <c r="F103" s="119">
        <v>1.34</v>
      </c>
      <c r="G103" s="112">
        <v>17.100000000000001</v>
      </c>
      <c r="H103" s="112">
        <v>14.1</v>
      </c>
    </row>
    <row r="104" spans="1:8" ht="14.4" x14ac:dyDescent="0.3">
      <c r="A104" s="140">
        <f>DATE(2005,7,1)</f>
        <v>38534</v>
      </c>
      <c r="B104" s="110" t="s">
        <v>149</v>
      </c>
      <c r="C104" s="111" t="s">
        <v>44</v>
      </c>
      <c r="D104" s="123">
        <v>1.6970000000000001</v>
      </c>
      <c r="E104" s="134"/>
      <c r="F104" s="119">
        <v>1.34</v>
      </c>
      <c r="G104" s="112">
        <v>17.100000000000001</v>
      </c>
      <c r="H104" s="112">
        <v>14.1</v>
      </c>
    </row>
    <row r="105" spans="1:8" ht="14.4" x14ac:dyDescent="0.3">
      <c r="A105" s="140">
        <f>DATE(2005,10,1)</f>
        <v>38626</v>
      </c>
      <c r="B105" s="110" t="s">
        <v>150</v>
      </c>
      <c r="C105" s="111"/>
      <c r="D105" s="122">
        <v>1.9470000000000001</v>
      </c>
      <c r="E105" s="132"/>
      <c r="F105" s="119">
        <v>1.34</v>
      </c>
      <c r="G105" s="112">
        <v>17.100000000000001</v>
      </c>
      <c r="H105" s="112">
        <v>14.1</v>
      </c>
    </row>
    <row r="106" spans="1:8" ht="14.4" x14ac:dyDescent="0.3">
      <c r="A106" s="140">
        <f>DATE(2006,1,1)</f>
        <v>38718</v>
      </c>
      <c r="B106" s="110" t="s">
        <v>151</v>
      </c>
      <c r="C106" s="111"/>
      <c r="D106" s="124">
        <v>1.724</v>
      </c>
      <c r="E106" s="135"/>
      <c r="F106" s="119">
        <v>1.34</v>
      </c>
      <c r="G106" s="112">
        <v>17.100000000000001</v>
      </c>
      <c r="H106" s="112">
        <v>14.1</v>
      </c>
    </row>
    <row r="107" spans="1:8" ht="14.4" x14ac:dyDescent="0.3">
      <c r="A107" s="140">
        <f>DATE(2006,4,1)</f>
        <v>38808</v>
      </c>
      <c r="B107" s="110" t="s">
        <v>156</v>
      </c>
      <c r="C107" s="111"/>
      <c r="D107" s="122">
        <v>2.2799999999999998</v>
      </c>
      <c r="E107" s="132"/>
      <c r="F107" s="119">
        <v>1.476</v>
      </c>
      <c r="G107" s="112">
        <v>18.3</v>
      </c>
      <c r="H107" s="112">
        <v>15.3</v>
      </c>
    </row>
    <row r="108" spans="1:8" ht="14.4" x14ac:dyDescent="0.3">
      <c r="A108" s="140">
        <f>DATE(2006,7,1)</f>
        <v>38899</v>
      </c>
      <c r="B108" s="116" t="s">
        <v>157</v>
      </c>
      <c r="C108" s="111"/>
      <c r="D108" s="125">
        <v>2.4169999999999998</v>
      </c>
      <c r="E108" s="136"/>
      <c r="F108" s="119">
        <v>1.476</v>
      </c>
      <c r="G108" s="112">
        <v>18.3</v>
      </c>
      <c r="H108" s="112">
        <v>15.3</v>
      </c>
    </row>
    <row r="109" spans="1:8" ht="14.4" x14ac:dyDescent="0.3">
      <c r="A109" s="140">
        <f>DATE(2006,10,1)</f>
        <v>38991</v>
      </c>
      <c r="B109" s="116" t="s">
        <v>158</v>
      </c>
      <c r="C109" s="111"/>
      <c r="D109" s="125">
        <v>1.6040000000000001</v>
      </c>
      <c r="E109" s="136"/>
      <c r="F109" s="119">
        <v>1.476</v>
      </c>
      <c r="G109" s="112">
        <v>18.3</v>
      </c>
      <c r="H109" s="112">
        <v>15.3</v>
      </c>
    </row>
    <row r="110" spans="1:8" ht="14.4" x14ac:dyDescent="0.3">
      <c r="A110" s="140">
        <f>DATE(2007,1,1)</f>
        <v>39083</v>
      </c>
      <c r="B110" s="116" t="s">
        <v>159</v>
      </c>
      <c r="C110" s="111"/>
      <c r="D110" s="125">
        <v>1.534</v>
      </c>
      <c r="E110" s="136"/>
      <c r="F110" s="119">
        <v>1.476</v>
      </c>
      <c r="G110" s="112">
        <v>18.3</v>
      </c>
      <c r="H110" s="112">
        <v>15.3</v>
      </c>
    </row>
    <row r="111" spans="1:8" ht="14.4" x14ac:dyDescent="0.3">
      <c r="A111" s="140">
        <f>DATE(2007,4,1)</f>
        <v>39173</v>
      </c>
      <c r="B111" s="116" t="s">
        <v>160</v>
      </c>
      <c r="C111" s="111"/>
      <c r="D111" s="125">
        <v>2.29</v>
      </c>
      <c r="E111" s="136"/>
      <c r="F111" s="119">
        <v>1.6240000000000001</v>
      </c>
      <c r="G111" s="112">
        <v>19.600000000000001</v>
      </c>
      <c r="H111" s="112">
        <v>16.600000000000001</v>
      </c>
    </row>
    <row r="112" spans="1:8" ht="14.4" x14ac:dyDescent="0.3">
      <c r="A112" s="140">
        <f>DATE(2007,7,1)</f>
        <v>39264</v>
      </c>
      <c r="B112" s="116" t="s">
        <v>161</v>
      </c>
      <c r="C112" s="111"/>
      <c r="D112" s="125">
        <v>2.3039999999999998</v>
      </c>
      <c r="E112" s="136"/>
      <c r="F112" s="119">
        <v>1.6240000000000001</v>
      </c>
      <c r="G112" s="112">
        <v>19.600000000000001</v>
      </c>
      <c r="H112" s="112">
        <v>16.600000000000001</v>
      </c>
    </row>
    <row r="113" spans="1:8" ht="14.4" x14ac:dyDescent="0.3">
      <c r="A113" s="140">
        <f>DATE(2007,10,1)</f>
        <v>39356</v>
      </c>
      <c r="B113" s="116" t="s">
        <v>165</v>
      </c>
      <c r="C113" s="111"/>
      <c r="D113" s="125">
        <v>2.2570000000000001</v>
      </c>
      <c r="E113" s="136"/>
      <c r="F113" s="119">
        <v>1.6240000000000001</v>
      </c>
      <c r="G113" s="112">
        <v>19.600000000000001</v>
      </c>
      <c r="H113" s="112">
        <v>16.600000000000001</v>
      </c>
    </row>
    <row r="114" spans="1:8" ht="14.4" x14ac:dyDescent="0.3">
      <c r="A114" s="140">
        <f>DATE(2008,1,1)</f>
        <v>39448</v>
      </c>
      <c r="B114" s="116" t="s">
        <v>162</v>
      </c>
      <c r="C114" s="111"/>
      <c r="D114" s="125">
        <v>2.4350000000000001</v>
      </c>
      <c r="E114" s="136"/>
      <c r="F114" s="119">
        <v>1.6240000000000001</v>
      </c>
      <c r="G114" s="112">
        <v>19.600000000000001</v>
      </c>
      <c r="H114" s="112">
        <v>16.600000000000001</v>
      </c>
    </row>
    <row r="115" spans="1:8" ht="14.4" x14ac:dyDescent="0.3">
      <c r="A115" s="140">
        <f>DATE(2008,4,1)</f>
        <v>39539</v>
      </c>
      <c r="B115" s="116" t="s">
        <v>163</v>
      </c>
      <c r="C115" s="111"/>
      <c r="D115" s="125">
        <v>2.9140000000000001</v>
      </c>
      <c r="E115" s="136"/>
      <c r="F115" s="119">
        <v>1.786</v>
      </c>
      <c r="G115" s="112">
        <v>21.1</v>
      </c>
      <c r="H115" s="112">
        <v>18.100000000000001</v>
      </c>
    </row>
    <row r="116" spans="1:8" ht="14.4" x14ac:dyDescent="0.3">
      <c r="A116" s="140">
        <f>DATE(2008,7,1)</f>
        <v>39630</v>
      </c>
      <c r="B116" s="116" t="s">
        <v>167</v>
      </c>
      <c r="C116" s="111"/>
      <c r="D116" s="126">
        <v>3.3980000000000001</v>
      </c>
      <c r="E116" s="137"/>
      <c r="F116" s="119">
        <v>1.786</v>
      </c>
      <c r="G116" s="112">
        <v>21.1</v>
      </c>
      <c r="H116" s="112">
        <v>18.100000000000001</v>
      </c>
    </row>
    <row r="117" spans="1:8" ht="14.4" x14ac:dyDescent="0.3">
      <c r="A117" s="140">
        <f>DATE(2008,10,1)</f>
        <v>39722</v>
      </c>
      <c r="B117" s="117" t="s">
        <v>169</v>
      </c>
      <c r="C117" s="111"/>
      <c r="D117" s="125">
        <v>2.2069999999999999</v>
      </c>
      <c r="E117" s="136"/>
      <c r="F117" s="121">
        <v>1.786</v>
      </c>
      <c r="G117" s="112">
        <v>21.1</v>
      </c>
      <c r="H117" s="112">
        <v>18.100000000000001</v>
      </c>
    </row>
    <row r="118" spans="1:8" ht="14.4" x14ac:dyDescent="0.3">
      <c r="A118" s="140">
        <f>DATE(2009,1,1)</f>
        <v>39814</v>
      </c>
      <c r="B118" s="117" t="s">
        <v>170</v>
      </c>
      <c r="C118" s="111"/>
      <c r="D118" s="125">
        <v>1.331</v>
      </c>
      <c r="E118" s="136"/>
      <c r="F118" s="121">
        <v>1.786</v>
      </c>
      <c r="G118" s="112">
        <v>21.1</v>
      </c>
      <c r="H118" s="112">
        <v>18.100000000000001</v>
      </c>
    </row>
    <row r="119" spans="1:8" ht="14.4" x14ac:dyDescent="0.3">
      <c r="A119" s="140">
        <f>DATE(2009,4,1)</f>
        <v>39904</v>
      </c>
      <c r="B119" s="117" t="s">
        <v>168</v>
      </c>
      <c r="C119" s="111"/>
      <c r="D119" s="125">
        <v>1.538</v>
      </c>
      <c r="E119" s="136"/>
      <c r="F119" s="121">
        <v>1.786</v>
      </c>
      <c r="G119" s="112">
        <v>21.1</v>
      </c>
      <c r="H119" s="112">
        <v>18.100000000000001</v>
      </c>
    </row>
    <row r="120" spans="1:8" ht="14.4" x14ac:dyDescent="0.3">
      <c r="A120" s="140">
        <f>DATE(2009,7,1)</f>
        <v>39995</v>
      </c>
      <c r="B120" s="110" t="s">
        <v>171</v>
      </c>
      <c r="C120" s="111"/>
      <c r="D120" s="122">
        <v>1.8640000000000001</v>
      </c>
      <c r="E120" s="132"/>
      <c r="F120" s="119">
        <v>1.8640000000000001</v>
      </c>
      <c r="G120" s="112">
        <v>21.8</v>
      </c>
      <c r="H120" s="112">
        <v>18.8</v>
      </c>
    </row>
    <row r="121" spans="1:8" ht="14.4" x14ac:dyDescent="0.3">
      <c r="A121" s="140">
        <f>DATE(2009,10,1)</f>
        <v>40087</v>
      </c>
      <c r="B121" s="110" t="s">
        <v>172</v>
      </c>
      <c r="C121" s="111"/>
      <c r="D121" s="122">
        <v>2.0569999999999999</v>
      </c>
      <c r="E121" s="132"/>
      <c r="F121" s="119">
        <v>1.9650000000000001</v>
      </c>
      <c r="G121" s="112">
        <v>22.7</v>
      </c>
      <c r="H121" s="112">
        <v>19.7</v>
      </c>
    </row>
    <row r="122" spans="1:8" ht="14.4" x14ac:dyDescent="0.3">
      <c r="A122" s="140">
        <f>DATE(2010,1,1)</f>
        <v>40179</v>
      </c>
      <c r="B122" s="110" t="s">
        <v>178</v>
      </c>
      <c r="C122" s="111"/>
      <c r="D122" s="122">
        <v>2.1480000000000001</v>
      </c>
      <c r="E122" s="132"/>
      <c r="F122" s="119">
        <v>1.9650000000000001</v>
      </c>
      <c r="G122" s="112">
        <v>22.7</v>
      </c>
      <c r="H122" s="112">
        <v>19.7</v>
      </c>
    </row>
    <row r="123" spans="1:8" ht="14.4" x14ac:dyDescent="0.3">
      <c r="A123" s="140">
        <f>DATE(2010,4,1)</f>
        <v>40269</v>
      </c>
      <c r="B123" s="110" t="s">
        <v>179</v>
      </c>
      <c r="C123" s="111"/>
      <c r="D123" s="122">
        <v>2.3119999999999998</v>
      </c>
      <c r="E123" s="132"/>
      <c r="F123" s="119">
        <v>2.1619999999999999</v>
      </c>
      <c r="G123" s="112">
        <v>24.5</v>
      </c>
      <c r="H123" s="112">
        <v>21.5</v>
      </c>
    </row>
    <row r="124" spans="1:8" ht="14.4" x14ac:dyDescent="0.3">
      <c r="A124" s="140">
        <f>DATE(2010,7,1)</f>
        <v>40360</v>
      </c>
      <c r="B124" s="110" t="s">
        <v>173</v>
      </c>
      <c r="C124" s="111"/>
      <c r="D124" s="122">
        <v>2.1320000000000001</v>
      </c>
      <c r="E124" s="132"/>
      <c r="F124" s="119">
        <v>2.1320000000000001</v>
      </c>
      <c r="G124" s="112">
        <v>24.2</v>
      </c>
      <c r="H124" s="112">
        <v>21.2</v>
      </c>
    </row>
    <row r="125" spans="1:8" ht="14.4" x14ac:dyDescent="0.3">
      <c r="A125" s="140">
        <f>DATE(2010,10,1)</f>
        <v>40452</v>
      </c>
      <c r="B125" s="110" t="s">
        <v>174</v>
      </c>
      <c r="C125" s="111"/>
      <c r="D125" s="122">
        <v>2.2120000000000002</v>
      </c>
      <c r="E125" s="132"/>
      <c r="F125" s="119">
        <v>2.1619999999999999</v>
      </c>
      <c r="G125" s="112">
        <v>24.5</v>
      </c>
      <c r="H125" s="112">
        <v>21.5</v>
      </c>
    </row>
    <row r="126" spans="1:8" ht="14.4" x14ac:dyDescent="0.3">
      <c r="A126" s="140">
        <f>DATE(2011,1,1)</f>
        <v>40544</v>
      </c>
      <c r="B126" s="110" t="s">
        <v>175</v>
      </c>
      <c r="C126" s="111"/>
      <c r="D126" s="122">
        <v>2.4710000000000001</v>
      </c>
      <c r="E126" s="132"/>
      <c r="F126" s="119">
        <v>2.1619999999999999</v>
      </c>
      <c r="G126" s="112">
        <v>24.5</v>
      </c>
      <c r="H126" s="112">
        <v>21.5</v>
      </c>
    </row>
    <row r="127" spans="1:8" ht="14.4" x14ac:dyDescent="0.3">
      <c r="A127" s="140">
        <f>DATE(2011,4,1)</f>
        <v>40634</v>
      </c>
      <c r="B127" s="110" t="s">
        <v>176</v>
      </c>
      <c r="C127" s="111"/>
      <c r="D127" s="122">
        <v>3.2639999999999998</v>
      </c>
      <c r="E127" s="132"/>
      <c r="F127" s="119">
        <v>2.3780000000000001</v>
      </c>
      <c r="G127" s="112">
        <v>26.4</v>
      </c>
      <c r="H127" s="112">
        <v>23.4</v>
      </c>
    </row>
    <row r="128" spans="1:8" ht="14.4" x14ac:dyDescent="0.3">
      <c r="A128" s="140">
        <f>DATE(2011,7,1)</f>
        <v>40725</v>
      </c>
      <c r="B128" s="110" t="s">
        <v>177</v>
      </c>
      <c r="C128" s="111"/>
      <c r="D128" s="122">
        <v>3.0859999999999999</v>
      </c>
      <c r="E128" s="132"/>
      <c r="F128" s="119">
        <v>2.3780000000000001</v>
      </c>
      <c r="G128" s="112">
        <v>26.4</v>
      </c>
      <c r="H128" s="112">
        <v>23.4</v>
      </c>
    </row>
    <row r="129" spans="1:10" ht="14.4" x14ac:dyDescent="0.3">
      <c r="A129" s="140">
        <f>DATE(2011,10,1)</f>
        <v>40817</v>
      </c>
      <c r="B129" s="110" t="s">
        <v>180</v>
      </c>
      <c r="C129" s="111"/>
      <c r="D129" s="122">
        <v>2.79</v>
      </c>
      <c r="E129" s="132"/>
      <c r="F129" s="119">
        <v>2.3780000000000001</v>
      </c>
      <c r="G129" s="112">
        <v>26.4</v>
      </c>
      <c r="H129" s="112">
        <v>23.4</v>
      </c>
    </row>
    <row r="130" spans="1:10" ht="14.4" x14ac:dyDescent="0.3">
      <c r="A130" s="140">
        <f>DATE(2012,1,1)</f>
        <v>40909</v>
      </c>
      <c r="B130" s="110" t="s">
        <v>181</v>
      </c>
      <c r="C130" s="111"/>
      <c r="D130" s="122">
        <v>2.7719999999999998</v>
      </c>
      <c r="E130" s="132"/>
      <c r="F130" s="119">
        <v>2.3780000000000001</v>
      </c>
      <c r="G130" s="112">
        <v>26.4</v>
      </c>
      <c r="H130" s="112">
        <v>23.4</v>
      </c>
    </row>
    <row r="131" spans="1:10" ht="14.4" x14ac:dyDescent="0.3">
      <c r="A131" s="140">
        <f>DATE(2012,4,1)</f>
        <v>41000</v>
      </c>
      <c r="B131" s="110" t="s">
        <v>182</v>
      </c>
      <c r="C131" s="111"/>
      <c r="D131" s="122">
        <v>3.2389999999999999</v>
      </c>
      <c r="E131" s="132"/>
      <c r="F131" s="119">
        <v>2.6160000000000001</v>
      </c>
      <c r="G131" s="112">
        <v>28.5</v>
      </c>
      <c r="H131" s="112">
        <v>25.5</v>
      </c>
      <c r="J131" s="128"/>
    </row>
    <row r="132" spans="1:10" ht="14.4" x14ac:dyDescent="0.3">
      <c r="A132" s="140">
        <f>DATE(2012,7,1)</f>
        <v>41091</v>
      </c>
      <c r="B132" s="110" t="s">
        <v>183</v>
      </c>
      <c r="C132" s="111"/>
      <c r="D132" s="122">
        <v>2.8</v>
      </c>
      <c r="E132" s="132"/>
      <c r="F132" s="119">
        <v>2.6160000000000001</v>
      </c>
      <c r="G132" s="112">
        <v>28.5</v>
      </c>
      <c r="H132" s="112">
        <v>25.5</v>
      </c>
      <c r="J132" s="128"/>
    </row>
    <row r="133" spans="1:10" ht="14.4" x14ac:dyDescent="0.3">
      <c r="A133" s="140">
        <f>DATE(2012,10,1)</f>
        <v>41183</v>
      </c>
      <c r="B133" s="110" t="s">
        <v>180</v>
      </c>
      <c r="C133" s="111"/>
      <c r="D133" s="122">
        <v>2.92</v>
      </c>
      <c r="E133" s="132"/>
      <c r="F133" s="119">
        <v>2.6160000000000001</v>
      </c>
      <c r="G133" s="112">
        <v>28.5</v>
      </c>
      <c r="H133" s="112">
        <v>25.5</v>
      </c>
      <c r="J133" s="128"/>
    </row>
    <row r="134" spans="1:10" ht="14.4" x14ac:dyDescent="0.3">
      <c r="A134" s="140">
        <f>DATE(2013,1,1)</f>
        <v>41275</v>
      </c>
      <c r="B134" s="110" t="s">
        <v>184</v>
      </c>
      <c r="C134" s="111"/>
      <c r="D134" s="122">
        <v>2.92</v>
      </c>
      <c r="E134" s="132"/>
      <c r="F134" s="119">
        <v>2.6160000000000001</v>
      </c>
      <c r="G134" s="112">
        <v>28.5</v>
      </c>
      <c r="H134" s="112">
        <v>25.5</v>
      </c>
    </row>
    <row r="135" spans="1:10" ht="14.4" x14ac:dyDescent="0.3">
      <c r="A135" s="140">
        <f>DATE(2013,4,1)</f>
        <v>41365</v>
      </c>
      <c r="B135" s="110" t="s">
        <v>185</v>
      </c>
      <c r="C135" s="111"/>
      <c r="D135" s="122">
        <v>2.8839999999999999</v>
      </c>
      <c r="E135" s="132"/>
      <c r="F135" s="119">
        <v>2.8780000000000001</v>
      </c>
      <c r="G135" s="112">
        <v>30.9</v>
      </c>
      <c r="H135" s="112">
        <v>27.9</v>
      </c>
      <c r="I135" s="127"/>
      <c r="J135" s="128"/>
    </row>
    <row r="136" spans="1:10" ht="14.4" x14ac:dyDescent="0.3">
      <c r="A136" s="140">
        <f>DATE(2013,7,1)</f>
        <v>41456</v>
      </c>
      <c r="B136" s="110" t="s">
        <v>186</v>
      </c>
      <c r="C136" s="111"/>
      <c r="D136" s="122">
        <v>2.927</v>
      </c>
      <c r="E136" s="132"/>
      <c r="F136" s="119">
        <v>2.8780000000000001</v>
      </c>
      <c r="G136" s="112">
        <v>30.9</v>
      </c>
      <c r="H136" s="112">
        <v>27.9</v>
      </c>
      <c r="I136" s="130"/>
      <c r="J136" s="128"/>
    </row>
    <row r="137" spans="1:10" s="35" customFormat="1" ht="14.4" x14ac:dyDescent="0.3">
      <c r="A137" s="140">
        <f>DATE(2013,10,1)</f>
        <v>41548</v>
      </c>
      <c r="B137" s="110" t="s">
        <v>193</v>
      </c>
      <c r="C137" s="111"/>
      <c r="D137" s="122">
        <v>2.7080000000000002</v>
      </c>
      <c r="E137" s="132"/>
      <c r="F137" s="119">
        <v>2.7080000000000002</v>
      </c>
      <c r="G137" s="112">
        <v>29.4</v>
      </c>
      <c r="H137" s="112">
        <v>26.4</v>
      </c>
      <c r="I137" s="127"/>
      <c r="J137" s="128"/>
    </row>
    <row r="138" spans="1:10" ht="14.4" x14ac:dyDescent="0.3">
      <c r="A138" s="140">
        <f>DATE(2014,1,1)</f>
        <v>41640</v>
      </c>
      <c r="B138" s="110" t="s">
        <v>194</v>
      </c>
      <c r="C138" s="111"/>
      <c r="D138" s="122">
        <v>2.6339999999999999</v>
      </c>
      <c r="E138" s="132"/>
      <c r="F138" s="119">
        <v>2.6339999999999999</v>
      </c>
      <c r="G138" s="112">
        <v>28.7</v>
      </c>
      <c r="H138" s="112">
        <v>25.7</v>
      </c>
      <c r="I138" s="127"/>
      <c r="J138" s="130"/>
    </row>
    <row r="139" spans="1:10" ht="14.4" x14ac:dyDescent="0.3">
      <c r="A139" s="139">
        <f>DATE(2014,4,1)</f>
        <v>41730</v>
      </c>
      <c r="B139" s="110" t="s">
        <v>195</v>
      </c>
      <c r="C139" s="111"/>
      <c r="D139" s="122">
        <v>3.14</v>
      </c>
      <c r="E139" s="132"/>
      <c r="F139" s="119">
        <v>2.8969999999999998</v>
      </c>
      <c r="G139" s="112">
        <v>31.1</v>
      </c>
      <c r="H139" s="112">
        <v>28.1</v>
      </c>
      <c r="I139" s="127"/>
      <c r="J139" s="128"/>
    </row>
    <row r="140" spans="1:10" ht="14.4" x14ac:dyDescent="0.3">
      <c r="A140" s="139">
        <f>DATE(2014,7,1)</f>
        <v>41821</v>
      </c>
      <c r="B140" s="110" t="s">
        <v>196</v>
      </c>
      <c r="C140" s="111"/>
      <c r="D140" s="122">
        <v>2.8370000000000002</v>
      </c>
      <c r="E140" s="132"/>
      <c r="F140" s="119">
        <v>2.8370000000000002</v>
      </c>
      <c r="G140" s="112">
        <v>30.5</v>
      </c>
      <c r="H140" s="112">
        <v>27.5</v>
      </c>
      <c r="I140" s="127"/>
      <c r="J140" s="128"/>
    </row>
    <row r="141" spans="1:10" s="35" customFormat="1" ht="14.4" x14ac:dyDescent="0.3">
      <c r="A141" s="139">
        <f>DATE(2014,10,1)</f>
        <v>41913</v>
      </c>
      <c r="B141" s="110" t="s">
        <v>197</v>
      </c>
      <c r="C141" s="111"/>
      <c r="D141" s="122">
        <v>2.3540000000000001</v>
      </c>
      <c r="E141" s="132"/>
      <c r="F141" s="119">
        <v>2.3540000000000001</v>
      </c>
      <c r="G141" s="112">
        <v>26.2</v>
      </c>
      <c r="H141" s="112">
        <v>23.2</v>
      </c>
      <c r="J141" s="128"/>
    </row>
    <row r="142" spans="1:10" ht="14.4" x14ac:dyDescent="0.3">
      <c r="A142" s="139">
        <f>DATE(2015,1,1)</f>
        <v>42005</v>
      </c>
      <c r="B142" s="110" t="s">
        <v>198</v>
      </c>
      <c r="C142" s="111"/>
      <c r="D142" s="122">
        <v>1.4410000000000001</v>
      </c>
      <c r="E142" s="132"/>
      <c r="F142" s="119">
        <v>2.177</v>
      </c>
      <c r="G142" s="112">
        <v>24.6</v>
      </c>
      <c r="H142" s="112">
        <v>21.6</v>
      </c>
      <c r="I142" s="138" t="s">
        <v>207</v>
      </c>
    </row>
    <row r="143" spans="1:10" ht="14.4" x14ac:dyDescent="0.3">
      <c r="A143" s="139">
        <f>DATE(2015,4,1)</f>
        <v>42095</v>
      </c>
      <c r="B143" s="110" t="s">
        <v>199</v>
      </c>
      <c r="C143" s="111"/>
      <c r="D143" s="122">
        <v>1.7849999999999999</v>
      </c>
      <c r="E143" s="133"/>
      <c r="F143" s="119">
        <v>2.177</v>
      </c>
      <c r="G143" s="112">
        <v>24.6</v>
      </c>
      <c r="H143" s="112">
        <v>21.6</v>
      </c>
      <c r="I143" s="138" t="s">
        <v>208</v>
      </c>
    </row>
    <row r="144" spans="1:10" ht="14.4" x14ac:dyDescent="0.3">
      <c r="A144" s="139">
        <f>DATE(2015,7,1)</f>
        <v>42186</v>
      </c>
      <c r="B144" s="110" t="s">
        <v>200</v>
      </c>
      <c r="C144" s="111"/>
      <c r="D144" s="122">
        <v>1.95</v>
      </c>
      <c r="E144" s="133"/>
      <c r="F144" s="119">
        <v>2.177</v>
      </c>
      <c r="G144" s="112">
        <v>24.6</v>
      </c>
      <c r="H144" s="112">
        <v>21.6</v>
      </c>
    </row>
    <row r="145" spans="1:8" ht="14.4" x14ac:dyDescent="0.3">
      <c r="A145" s="139">
        <f>DATE(2015,10,1)</f>
        <v>42278</v>
      </c>
      <c r="B145" s="110" t="s">
        <v>201</v>
      </c>
      <c r="C145" s="129"/>
      <c r="D145" s="122">
        <v>1.6459999999999999</v>
      </c>
      <c r="E145" s="133"/>
      <c r="F145" s="119">
        <v>2.177</v>
      </c>
      <c r="G145" s="112">
        <v>24.6</v>
      </c>
      <c r="H145" s="112">
        <v>21.6</v>
      </c>
    </row>
    <row r="146" spans="1:8" ht="14.4" x14ac:dyDescent="0.3">
      <c r="A146" s="139">
        <f>DATE(2016,1,1)</f>
        <v>42370</v>
      </c>
      <c r="B146" s="110" t="s">
        <v>202</v>
      </c>
      <c r="C146" s="129"/>
      <c r="D146" s="122">
        <v>1.101</v>
      </c>
      <c r="E146" s="133"/>
      <c r="F146" s="119">
        <v>2.177</v>
      </c>
      <c r="G146" s="112">
        <v>24.6</v>
      </c>
      <c r="H146" s="112">
        <v>21.6</v>
      </c>
    </row>
    <row r="147" spans="1:8" ht="14.4" x14ac:dyDescent="0.3">
      <c r="A147" s="139">
        <f>DATE(2016,4,1)</f>
        <v>42461</v>
      </c>
      <c r="B147" s="110" t="s">
        <v>203</v>
      </c>
      <c r="C147" s="129"/>
      <c r="D147" s="122">
        <v>1.5229999999999999</v>
      </c>
      <c r="E147" s="119">
        <v>2.177</v>
      </c>
      <c r="F147" s="119">
        <v>2.177</v>
      </c>
      <c r="G147" s="112">
        <v>24.6</v>
      </c>
      <c r="H147" s="112">
        <v>21.6</v>
      </c>
    </row>
    <row r="148" spans="1:8" ht="14.4" x14ac:dyDescent="0.3">
      <c r="A148" s="139">
        <f>DATE(2016,7,1)</f>
        <v>42552</v>
      </c>
      <c r="B148" s="110" t="s">
        <v>204</v>
      </c>
      <c r="C148" s="129"/>
      <c r="D148" s="122">
        <v>1.49</v>
      </c>
      <c r="E148" s="133"/>
      <c r="F148" s="119">
        <v>2.177</v>
      </c>
      <c r="G148" s="112">
        <v>24.6</v>
      </c>
      <c r="H148" s="112">
        <v>21.6</v>
      </c>
    </row>
    <row r="149" spans="1:8" ht="14.4" x14ac:dyDescent="0.3">
      <c r="A149" s="139">
        <v>42644</v>
      </c>
      <c r="B149" s="110" t="s">
        <v>209</v>
      </c>
      <c r="C149" s="129"/>
      <c r="D149" s="122">
        <v>1.5780000000000001</v>
      </c>
      <c r="E149" s="133"/>
      <c r="F149" s="119">
        <v>2.177</v>
      </c>
      <c r="G149" s="112">
        <v>24.6</v>
      </c>
      <c r="H149" s="112">
        <v>21.6</v>
      </c>
    </row>
    <row r="150" spans="1:8" ht="14.4" x14ac:dyDescent="0.3">
      <c r="A150" s="139">
        <f>DATE(2017,1,1)</f>
        <v>42736</v>
      </c>
      <c r="B150" s="110" t="s">
        <v>210</v>
      </c>
      <c r="C150" s="129"/>
      <c r="D150" s="122">
        <v>1.744</v>
      </c>
      <c r="E150" s="133"/>
      <c r="F150" s="119">
        <v>2.177</v>
      </c>
      <c r="G150" s="112">
        <v>24.6</v>
      </c>
      <c r="H150" s="112">
        <v>21.6</v>
      </c>
    </row>
    <row r="151" spans="1:8" ht="14.4" x14ac:dyDescent="0.3">
      <c r="A151" s="139">
        <f>DATE(2017,4,1)</f>
        <v>42826</v>
      </c>
      <c r="B151" s="110" t="s">
        <v>211</v>
      </c>
      <c r="C151" s="129"/>
      <c r="D151" s="122">
        <v>1.7210000000000001</v>
      </c>
      <c r="E151" s="119">
        <v>2.177</v>
      </c>
      <c r="F151" s="119">
        <v>2.177</v>
      </c>
      <c r="G151" s="112">
        <v>24.6</v>
      </c>
      <c r="H151" s="112">
        <v>21.6</v>
      </c>
    </row>
    <row r="152" spans="1:8" ht="14.4" x14ac:dyDescent="0.3">
      <c r="A152" s="139">
        <f>DATE(2017,7,1)</f>
        <v>42917</v>
      </c>
      <c r="B152" s="110" t="s">
        <v>212</v>
      </c>
      <c r="C152" s="129"/>
      <c r="D152" s="122">
        <v>1.633</v>
      </c>
      <c r="E152" s="133"/>
      <c r="F152" s="119">
        <v>2.177</v>
      </c>
      <c r="G152" s="112">
        <v>24.6</v>
      </c>
      <c r="H152" s="112">
        <v>21.6</v>
      </c>
    </row>
    <row r="153" spans="1:8" ht="14.4" x14ac:dyDescent="0.3">
      <c r="A153" s="139">
        <f>DATE(2017,10,1)</f>
        <v>43009</v>
      </c>
      <c r="B153" s="110" t="s">
        <v>213</v>
      </c>
      <c r="C153" s="129"/>
      <c r="D153" s="122">
        <v>1.7749999999999999</v>
      </c>
      <c r="E153" s="133"/>
      <c r="F153" s="119">
        <v>2.177</v>
      </c>
      <c r="G153" s="112">
        <v>24.6</v>
      </c>
      <c r="H153" s="112">
        <v>21.6</v>
      </c>
    </row>
    <row r="154" spans="1:8" ht="14.4" x14ac:dyDescent="0.3">
      <c r="A154" s="139">
        <v>43101</v>
      </c>
      <c r="B154" s="110" t="s">
        <v>217</v>
      </c>
      <c r="C154" s="129"/>
      <c r="D154" s="122">
        <v>1.863</v>
      </c>
      <c r="E154" s="133"/>
      <c r="F154" s="119">
        <v>2.177</v>
      </c>
      <c r="G154" s="112">
        <v>24.6</v>
      </c>
      <c r="H154" s="112">
        <v>21.6</v>
      </c>
    </row>
    <row r="155" spans="1:8" ht="14.4" x14ac:dyDescent="0.3">
      <c r="A155" s="139">
        <v>43191</v>
      </c>
      <c r="B155" s="110" t="s">
        <v>218</v>
      </c>
      <c r="C155" s="129"/>
      <c r="D155" s="122">
        <v>2.0369999999999999</v>
      </c>
      <c r="E155" s="119">
        <v>2.177</v>
      </c>
      <c r="F155" s="119">
        <v>2.177</v>
      </c>
      <c r="G155" s="112">
        <v>24.6</v>
      </c>
      <c r="H155" s="112">
        <v>21.6</v>
      </c>
    </row>
    <row r="156" spans="1:8" ht="15" customHeight="1" x14ac:dyDescent="0.3">
      <c r="A156" s="139">
        <v>43282</v>
      </c>
      <c r="B156" s="110" t="s">
        <v>219</v>
      </c>
      <c r="C156" s="129"/>
      <c r="D156" s="122">
        <v>2.1659999999999999</v>
      </c>
      <c r="E156" s="152"/>
      <c r="F156" s="119">
        <v>2.177</v>
      </c>
      <c r="G156" s="112">
        <v>24.6</v>
      </c>
      <c r="H156" s="112">
        <v>21.6</v>
      </c>
    </row>
    <row r="157" spans="1:8" ht="15" customHeight="1" x14ac:dyDescent="0.3">
      <c r="A157" s="139">
        <v>43374</v>
      </c>
      <c r="B157" s="110" t="s">
        <v>220</v>
      </c>
      <c r="C157" s="129"/>
      <c r="D157" s="122">
        <v>2.06</v>
      </c>
      <c r="E157" s="152"/>
      <c r="F157" s="119">
        <v>2.177</v>
      </c>
      <c r="G157" s="112">
        <v>24.6</v>
      </c>
      <c r="H157" s="112">
        <v>21.6</v>
      </c>
    </row>
    <row r="158" spans="1:8" ht="15" customHeight="1" x14ac:dyDescent="0.3">
      <c r="A158" s="139">
        <v>43466</v>
      </c>
      <c r="B158" s="110" t="s">
        <v>221</v>
      </c>
      <c r="C158" s="129"/>
      <c r="D158" s="122">
        <v>1.46</v>
      </c>
      <c r="E158" s="152"/>
      <c r="F158" s="119">
        <v>2.177</v>
      </c>
      <c r="G158" s="112">
        <v>24.6</v>
      </c>
      <c r="H158" s="112">
        <v>21.6</v>
      </c>
    </row>
    <row r="159" spans="1:8" ht="15" customHeight="1" x14ac:dyDescent="0.3">
      <c r="A159" s="139">
        <v>43556</v>
      </c>
      <c r="B159" s="110" t="s">
        <v>222</v>
      </c>
      <c r="C159" s="129"/>
      <c r="D159" s="122">
        <v>2.0630000000000002</v>
      </c>
      <c r="E159" s="119">
        <v>2.177</v>
      </c>
      <c r="F159" s="119">
        <v>2.177</v>
      </c>
      <c r="G159" s="112">
        <v>24.6</v>
      </c>
      <c r="H159" s="112">
        <v>21.6</v>
      </c>
    </row>
    <row r="160" spans="1:8" ht="14.4" x14ac:dyDescent="0.3">
      <c r="A160" s="160">
        <v>43647</v>
      </c>
      <c r="B160" s="161" t="s">
        <v>223</v>
      </c>
      <c r="D160" s="122">
        <v>2.0099999999999998</v>
      </c>
      <c r="E160" s="133"/>
      <c r="F160" s="119">
        <v>2.177</v>
      </c>
      <c r="G160" s="112">
        <v>24.6</v>
      </c>
      <c r="H160" s="112">
        <v>21.6</v>
      </c>
    </row>
    <row r="161" spans="1:9" ht="14.4" x14ac:dyDescent="0.3">
      <c r="A161" s="160">
        <v>43739</v>
      </c>
      <c r="B161" s="161" t="s">
        <v>224</v>
      </c>
      <c r="D161" s="122">
        <v>1.7709999999999999</v>
      </c>
      <c r="E161" s="133"/>
      <c r="F161" s="119">
        <v>2.177</v>
      </c>
      <c r="G161" s="112">
        <v>24.6</v>
      </c>
      <c r="H161" s="112">
        <v>21.6</v>
      </c>
    </row>
    <row r="162" spans="1:9" ht="14.4" x14ac:dyDescent="0.3">
      <c r="A162" s="160">
        <v>43831</v>
      </c>
      <c r="B162" s="161" t="s">
        <v>225</v>
      </c>
      <c r="D162" s="122">
        <v>1.7270000000000001</v>
      </c>
      <c r="E162" s="133"/>
      <c r="F162" s="119">
        <v>2.177</v>
      </c>
      <c r="G162" s="112">
        <v>24.6</v>
      </c>
      <c r="H162" s="112">
        <v>21.6</v>
      </c>
    </row>
    <row r="163" spans="1:9" ht="14.4" x14ac:dyDescent="0.3">
      <c r="A163" s="160">
        <v>43922</v>
      </c>
      <c r="B163" s="161" t="s">
        <v>226</v>
      </c>
      <c r="D163" s="122">
        <v>0.63100000000000001</v>
      </c>
      <c r="E163" s="119">
        <v>2.177</v>
      </c>
      <c r="F163" s="119">
        <v>2.177</v>
      </c>
      <c r="G163" s="112">
        <v>24.6</v>
      </c>
      <c r="H163" s="112">
        <v>21.6</v>
      </c>
    </row>
    <row r="164" spans="1:9" ht="14.4" x14ac:dyDescent="0.3">
      <c r="A164" s="160">
        <v>44013</v>
      </c>
      <c r="B164" s="161" t="s">
        <v>227</v>
      </c>
      <c r="D164" s="122">
        <v>1.4119999999999999</v>
      </c>
      <c r="E164" s="133"/>
      <c r="F164" s="119">
        <v>2.177</v>
      </c>
      <c r="G164" s="112">
        <v>24.6</v>
      </c>
      <c r="H164" s="112">
        <v>21.6</v>
      </c>
    </row>
    <row r="165" spans="1:9" ht="14.4" x14ac:dyDescent="0.3">
      <c r="A165" s="160">
        <v>44105</v>
      </c>
      <c r="B165" s="161" t="s">
        <v>228</v>
      </c>
      <c r="D165" s="122">
        <v>1.3380000000000001</v>
      </c>
      <c r="E165" s="133"/>
      <c r="F165" s="119">
        <v>2.177</v>
      </c>
      <c r="G165" s="112">
        <v>24.6</v>
      </c>
      <c r="H165" s="112">
        <v>21.6</v>
      </c>
    </row>
    <row r="166" spans="1:9" ht="14.4" x14ac:dyDescent="0.3">
      <c r="A166" s="160">
        <v>44197</v>
      </c>
      <c r="B166" s="161" t="s">
        <v>229</v>
      </c>
      <c r="D166" s="122">
        <v>1.603</v>
      </c>
      <c r="E166" s="159"/>
      <c r="F166" s="119">
        <v>2.177</v>
      </c>
      <c r="G166" s="112">
        <v>24.6</v>
      </c>
      <c r="H166" s="112">
        <v>21.6</v>
      </c>
    </row>
    <row r="167" spans="1:9" ht="14.4" x14ac:dyDescent="0.3">
      <c r="A167" s="160">
        <v>44287</v>
      </c>
      <c r="B167" s="161" t="s">
        <v>230</v>
      </c>
      <c r="D167" s="122">
        <v>2.117</v>
      </c>
      <c r="E167" s="119">
        <v>2.177</v>
      </c>
      <c r="F167" s="119">
        <v>2.177</v>
      </c>
      <c r="G167" s="112">
        <v>24.6</v>
      </c>
      <c r="H167" s="112">
        <v>21.6</v>
      </c>
    </row>
    <row r="168" spans="1:9" ht="14.4" x14ac:dyDescent="0.3">
      <c r="A168" s="160">
        <v>44378</v>
      </c>
      <c r="B168" s="161" t="s">
        <v>231</v>
      </c>
      <c r="D168" s="122">
        <v>2.2639999999999998</v>
      </c>
      <c r="E168" s="133"/>
      <c r="F168" s="119">
        <v>2.177</v>
      </c>
      <c r="G168" s="112">
        <v>24.6</v>
      </c>
      <c r="H168" s="112">
        <v>21.6</v>
      </c>
    </row>
    <row r="169" spans="1:9" ht="14.4" x14ac:dyDescent="0.3">
      <c r="A169" s="160">
        <v>44470</v>
      </c>
      <c r="B169" s="161" t="s">
        <v>232</v>
      </c>
      <c r="D169" s="122">
        <v>2.38</v>
      </c>
      <c r="E169" s="133"/>
      <c r="F169" s="119">
        <v>2.177</v>
      </c>
      <c r="G169" s="112">
        <v>24.6</v>
      </c>
      <c r="H169" s="112">
        <v>21.6</v>
      </c>
    </row>
    <row r="170" spans="1:9" ht="14.4" x14ac:dyDescent="0.3">
      <c r="A170" s="160">
        <v>44562</v>
      </c>
      <c r="B170" s="161" t="s">
        <v>233</v>
      </c>
      <c r="D170" s="122">
        <v>2.3319999999999999</v>
      </c>
      <c r="E170" s="159"/>
      <c r="F170" s="119">
        <v>2.177</v>
      </c>
      <c r="G170" s="112">
        <v>24.6</v>
      </c>
      <c r="H170" s="112">
        <v>21.6</v>
      </c>
    </row>
    <row r="171" spans="1:9" ht="14.4" x14ac:dyDescent="0.3">
      <c r="A171" s="160">
        <v>44652</v>
      </c>
      <c r="B171" s="161" t="s">
        <v>234</v>
      </c>
      <c r="D171" s="122">
        <v>3.0710000000000002</v>
      </c>
      <c r="E171" s="119">
        <v>2.177</v>
      </c>
      <c r="F171" s="119">
        <v>2.177</v>
      </c>
      <c r="G171" s="112">
        <v>24.6</v>
      </c>
      <c r="H171" s="112">
        <v>21.6</v>
      </c>
    </row>
    <row r="172" spans="1:9" ht="14.4" x14ac:dyDescent="0.3">
      <c r="A172" s="160">
        <v>44743</v>
      </c>
      <c r="B172" s="161" t="s">
        <v>235</v>
      </c>
      <c r="D172" s="122">
        <v>3.0209999999999999</v>
      </c>
      <c r="E172" s="133"/>
      <c r="F172" s="119">
        <v>2.177</v>
      </c>
      <c r="G172" s="112">
        <v>24.6</v>
      </c>
      <c r="H172" s="112">
        <v>21.6</v>
      </c>
    </row>
    <row r="173" spans="1:9" ht="14.4" x14ac:dyDescent="0.3">
      <c r="A173" s="160">
        <v>44835</v>
      </c>
      <c r="B173" s="161" t="s">
        <v>236</v>
      </c>
      <c r="D173" s="122">
        <v>2.75</v>
      </c>
      <c r="E173" s="133"/>
      <c r="F173" s="119">
        <v>2.177</v>
      </c>
      <c r="G173" s="112">
        <v>24.6</v>
      </c>
      <c r="H173" s="112">
        <v>21.6</v>
      </c>
    </row>
    <row r="174" spans="1:9" ht="14.4" x14ac:dyDescent="0.3">
      <c r="A174" s="160">
        <v>44927</v>
      </c>
      <c r="B174" s="161" t="s">
        <v>237</v>
      </c>
      <c r="D174" s="122">
        <v>2.3849999999999998</v>
      </c>
      <c r="E174" s="159"/>
      <c r="F174" s="119">
        <v>2.177</v>
      </c>
      <c r="G174" s="112">
        <v>24.6</v>
      </c>
      <c r="H174" s="112">
        <v>21.6</v>
      </c>
    </row>
    <row r="175" spans="1:9" ht="14.4" x14ac:dyDescent="0.3">
      <c r="A175" s="160">
        <v>45017</v>
      </c>
      <c r="B175" s="161" t="s">
        <v>238</v>
      </c>
      <c r="D175" s="122">
        <v>2.5249999999999999</v>
      </c>
      <c r="E175" s="119">
        <v>2.3946999999999998</v>
      </c>
      <c r="F175" s="119">
        <v>2.395</v>
      </c>
      <c r="G175" s="112">
        <v>26.6</v>
      </c>
      <c r="H175" s="112">
        <v>23.6</v>
      </c>
      <c r="I175" t="s">
        <v>249</v>
      </c>
    </row>
    <row r="176" spans="1:9" ht="14.4" x14ac:dyDescent="0.3">
      <c r="A176" s="160">
        <v>45108</v>
      </c>
      <c r="B176" s="161" t="s">
        <v>239</v>
      </c>
      <c r="D176" s="122">
        <v>2.528</v>
      </c>
      <c r="E176" s="133"/>
      <c r="F176" s="119">
        <v>2.6349999999999998</v>
      </c>
      <c r="G176" s="112">
        <v>28.7</v>
      </c>
      <c r="H176" s="112">
        <v>25.7</v>
      </c>
      <c r="I176" t="s">
        <v>250</v>
      </c>
    </row>
    <row r="177" spans="1:9" ht="14.4" x14ac:dyDescent="0.3">
      <c r="A177" s="160">
        <v>45200</v>
      </c>
      <c r="B177" s="161" t="s">
        <v>240</v>
      </c>
      <c r="D177" s="122">
        <v>2.2679999999999998</v>
      </c>
      <c r="E177" s="133"/>
      <c r="F177" s="119">
        <v>2.6349999999999998</v>
      </c>
      <c r="G177" s="112">
        <v>28.7</v>
      </c>
      <c r="H177" s="112">
        <v>25.7</v>
      </c>
    </row>
    <row r="178" spans="1:9" ht="14.4" x14ac:dyDescent="0.3">
      <c r="A178" s="160">
        <v>45292</v>
      </c>
      <c r="B178" s="161" t="s">
        <v>241</v>
      </c>
      <c r="D178" s="122">
        <v>2.0990000000000002</v>
      </c>
      <c r="E178" s="159"/>
      <c r="F178" s="119">
        <v>2.6349999999999998</v>
      </c>
      <c r="G178" s="112">
        <v>28.7</v>
      </c>
      <c r="H178" s="112">
        <v>25.7</v>
      </c>
    </row>
    <row r="179" spans="1:9" ht="14.4" x14ac:dyDescent="0.3">
      <c r="A179" s="160">
        <v>45383</v>
      </c>
      <c r="B179" s="161" t="s">
        <v>242</v>
      </c>
      <c r="D179" s="122">
        <v>2.625</v>
      </c>
      <c r="E179" s="119">
        <v>2.38</v>
      </c>
      <c r="F179" s="119">
        <v>2.6349999999999998</v>
      </c>
      <c r="G179" s="112">
        <v>28.7</v>
      </c>
      <c r="H179" s="112">
        <v>25.7</v>
      </c>
    </row>
    <row r="180" spans="1:9" ht="14.4" x14ac:dyDescent="0.3">
      <c r="A180" s="160">
        <v>45474</v>
      </c>
      <c r="B180" s="161" t="s">
        <v>243</v>
      </c>
      <c r="D180" s="122">
        <v>2.4969999999999999</v>
      </c>
      <c r="E180" s="133"/>
      <c r="F180" s="119">
        <v>2.38</v>
      </c>
      <c r="G180" s="112">
        <v>26.4</v>
      </c>
      <c r="H180" s="112">
        <v>23.4</v>
      </c>
      <c r="I180" t="s">
        <v>259</v>
      </c>
    </row>
    <row r="181" spans="1:9" ht="14.4" x14ac:dyDescent="0.3">
      <c r="A181" s="160">
        <v>45566</v>
      </c>
      <c r="B181" s="161" t="s">
        <v>244</v>
      </c>
      <c r="D181" s="122">
        <v>2.1469999999999998</v>
      </c>
      <c r="E181" s="133"/>
      <c r="F181" s="119">
        <v>2.38</v>
      </c>
      <c r="G181" s="112">
        <v>26.4</v>
      </c>
      <c r="H181" s="112">
        <v>23.4</v>
      </c>
    </row>
    <row r="182" spans="1:9" ht="14.4" x14ac:dyDescent="0.3">
      <c r="A182" s="160">
        <v>45658</v>
      </c>
      <c r="B182" s="161" t="s">
        <v>245</v>
      </c>
      <c r="D182" s="122">
        <v>2.1269999999999998</v>
      </c>
      <c r="E182" s="159"/>
      <c r="F182" s="119">
        <v>2.38</v>
      </c>
      <c r="G182" s="112">
        <v>26.4</v>
      </c>
      <c r="H182" s="112">
        <v>23.4</v>
      </c>
    </row>
    <row r="183" spans="1:9" ht="14.4" x14ac:dyDescent="0.3">
      <c r="A183" s="160">
        <v>45748</v>
      </c>
      <c r="B183" s="161" t="s">
        <v>246</v>
      </c>
      <c r="D183" s="122">
        <v>2.137</v>
      </c>
      <c r="E183" s="119">
        <v>2.2269999999999999</v>
      </c>
      <c r="F183" s="119">
        <v>2.38</v>
      </c>
      <c r="G183" s="112">
        <v>26.4</v>
      </c>
      <c r="H183" s="112">
        <v>23.4</v>
      </c>
    </row>
    <row r="184" spans="1:9" ht="14.4" x14ac:dyDescent="0.3">
      <c r="A184" s="160">
        <v>45839</v>
      </c>
      <c r="B184" s="161" t="s">
        <v>247</v>
      </c>
      <c r="D184" s="122">
        <v>2.0760000000000001</v>
      </c>
      <c r="E184" s="133"/>
      <c r="F184" s="119">
        <v>2.2269999999999999</v>
      </c>
      <c r="G184" s="112">
        <v>25</v>
      </c>
      <c r="H184" s="112">
        <v>22</v>
      </c>
      <c r="I184" t="s">
        <v>260</v>
      </c>
    </row>
    <row r="185" spans="1:9" ht="14.4" x14ac:dyDescent="0.3">
      <c r="A185" s="160">
        <v>45931</v>
      </c>
      <c r="B185" s="161" t="s">
        <v>248</v>
      </c>
      <c r="D185" s="122"/>
      <c r="E185" s="133"/>
      <c r="F185" s="119">
        <v>2.2269999999999999</v>
      </c>
      <c r="G185" s="112">
        <v>25</v>
      </c>
      <c r="H185" s="112">
        <v>22</v>
      </c>
    </row>
    <row r="186" spans="1:9" ht="14.4" x14ac:dyDescent="0.3">
      <c r="A186" s="160">
        <v>46023</v>
      </c>
      <c r="B186" s="161" t="s">
        <v>251</v>
      </c>
      <c r="D186" s="122"/>
      <c r="E186" s="159"/>
      <c r="F186" s="119">
        <v>2.2269999999999999</v>
      </c>
      <c r="G186" s="112">
        <v>25</v>
      </c>
      <c r="H186" s="112">
        <v>22</v>
      </c>
    </row>
    <row r="187" spans="1:9" ht="14.4" x14ac:dyDescent="0.3">
      <c r="A187" s="160">
        <v>46113</v>
      </c>
      <c r="B187" s="161" t="s">
        <v>252</v>
      </c>
      <c r="D187" s="122"/>
      <c r="E187" s="119">
        <v>2.2269999999999999</v>
      </c>
      <c r="F187" s="119">
        <v>2.2269999999999999</v>
      </c>
      <c r="G187" s="112">
        <v>25</v>
      </c>
      <c r="H187" s="112">
        <v>22</v>
      </c>
    </row>
    <row r="188" spans="1:9" ht="14.4" x14ac:dyDescent="0.3">
      <c r="A188" s="160">
        <v>46204</v>
      </c>
      <c r="B188" s="161" t="s">
        <v>253</v>
      </c>
      <c r="D188" s="122"/>
      <c r="E188" s="133"/>
      <c r="F188" s="119">
        <v>2.2269999999999999</v>
      </c>
      <c r="G188" s="112">
        <v>25</v>
      </c>
      <c r="H188" s="112">
        <v>22</v>
      </c>
    </row>
    <row r="189" spans="1:9" ht="14.4" x14ac:dyDescent="0.3">
      <c r="A189" s="160">
        <v>46296</v>
      </c>
      <c r="B189" s="161" t="s">
        <v>254</v>
      </c>
      <c r="D189" s="122"/>
      <c r="E189" s="133"/>
      <c r="F189" s="119">
        <v>2.2269999999999999</v>
      </c>
      <c r="G189" s="112">
        <v>25</v>
      </c>
      <c r="H189" s="112">
        <v>22</v>
      </c>
    </row>
    <row r="190" spans="1:9" ht="14.4" x14ac:dyDescent="0.3">
      <c r="A190" s="160">
        <v>46388</v>
      </c>
      <c r="B190" s="161" t="s">
        <v>255</v>
      </c>
      <c r="D190" s="122"/>
      <c r="E190" s="159"/>
      <c r="F190" s="119">
        <v>2.2269999999999999</v>
      </c>
      <c r="G190" s="112">
        <v>25</v>
      </c>
      <c r="H190" s="112">
        <v>22</v>
      </c>
    </row>
    <row r="191" spans="1:9" ht="14.4" x14ac:dyDescent="0.3">
      <c r="A191" s="160">
        <v>46478</v>
      </c>
      <c r="B191" s="161" t="s">
        <v>256</v>
      </c>
      <c r="D191" s="122"/>
      <c r="E191" s="119">
        <v>2.2269999999999999</v>
      </c>
      <c r="F191" s="119">
        <v>2.2269999999999999</v>
      </c>
      <c r="G191" s="112">
        <v>25</v>
      </c>
      <c r="H191" s="112">
        <v>22</v>
      </c>
    </row>
    <row r="192" spans="1:9" ht="14.4" x14ac:dyDescent="0.3">
      <c r="A192" s="160">
        <v>46569</v>
      </c>
      <c r="B192" s="161" t="s">
        <v>257</v>
      </c>
      <c r="D192" s="122"/>
      <c r="E192" s="133"/>
      <c r="F192" s="119">
        <v>2.2269999999999999</v>
      </c>
      <c r="G192" s="112">
        <v>25</v>
      </c>
      <c r="H192" s="112">
        <v>22</v>
      </c>
    </row>
    <row r="193" spans="1:8" ht="14.4" x14ac:dyDescent="0.3">
      <c r="A193" s="160">
        <v>46661</v>
      </c>
      <c r="B193" s="161" t="s">
        <v>258</v>
      </c>
      <c r="D193" s="122"/>
      <c r="E193" s="133"/>
      <c r="F193" s="119">
        <v>2.2269999999999999</v>
      </c>
      <c r="G193" s="112">
        <v>25</v>
      </c>
      <c r="H193" s="112">
        <v>22</v>
      </c>
    </row>
  </sheetData>
  <mergeCells count="1">
    <mergeCell ref="A1:H1"/>
  </mergeCells>
  <phoneticPr fontId="0" type="noConversion"/>
  <printOptions horizontalCentered="1"/>
  <pageMargins left="0.75" right="0.75" top="0.5" bottom="0" header="0" footer="0"/>
  <pageSetup scale="75" orientation="portrait" r:id="rId1"/>
  <headerFooter alignWithMargins="0">
    <oddFooter>&amp;LDate: &amp;D&amp;RPage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Definitions</vt:lpstr>
      <vt:lpstr>Gasoline Gallon Data</vt:lpstr>
      <vt:lpstr>Special Fuels Gallon Data</vt:lpstr>
      <vt:lpstr>LP Gas Gallon Data</vt:lpstr>
      <vt:lpstr>Motor Fuel Tax Rates</vt:lpstr>
      <vt:lpstr>'Gasoline Gallon Data'!Print_Area</vt:lpstr>
      <vt:lpstr>'Motor Fuel Tax Rates'!Print_Area</vt:lpstr>
      <vt:lpstr>'Gasoline Gallon Data'!Print_Titles</vt:lpstr>
      <vt:lpstr>'LP Gas Gallon Data'!Print_Titles</vt:lpstr>
      <vt:lpstr>'Motor Fuel Tax Rates'!Print_Titles</vt:lpstr>
      <vt:lpstr>'Special Fuels Gallon Data'!Print_Titles</vt:lpstr>
    </vt:vector>
  </TitlesOfParts>
  <Company>Revenue Cabinet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Cathie Beckley</dc:creator>
  <cp:lastModifiedBy>Ramakrishnan, Sridhar (DOR)</cp:lastModifiedBy>
  <cp:lastPrinted>2014-03-12T12:54:05Z</cp:lastPrinted>
  <dcterms:created xsi:type="dcterms:W3CDTF">1999-04-28T12:41:44Z</dcterms:created>
  <dcterms:modified xsi:type="dcterms:W3CDTF">2025-10-10T14:46:00Z</dcterms:modified>
</cp:coreProperties>
</file>